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25" windowHeight="73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'Tabelle1'!$A$1:$J$179</definedName>
  </definedNames>
  <calcPr fullCalcOnLoad="1"/>
</workbook>
</file>

<file path=xl/sharedStrings.xml><?xml version="1.0" encoding="utf-8"?>
<sst xmlns="http://schemas.openxmlformats.org/spreadsheetml/2006/main" count="385" uniqueCount="217">
  <si>
    <t>Betrag</t>
  </si>
  <si>
    <t>Re</t>
  </si>
  <si>
    <t>Im</t>
  </si>
  <si>
    <t>P [MW]</t>
  </si>
  <si>
    <t>Laststrom</t>
  </si>
  <si>
    <t>Impedanzen pro Strang</t>
  </si>
  <si>
    <t>Sternschaltung</t>
  </si>
  <si>
    <t>Leitung A</t>
  </si>
  <si>
    <t>Leitung B</t>
  </si>
  <si>
    <t>Berechnung von R und X aus Z</t>
  </si>
  <si>
    <r>
      <t>I²</t>
    </r>
    <r>
      <rPr>
        <vertAlign val="subscript"/>
        <sz val="8"/>
        <rFont val="Arial"/>
        <family val="2"/>
      </rPr>
      <t>Last</t>
    </r>
  </si>
  <si>
    <t>Gesamtimpedanz</t>
  </si>
  <si>
    <r>
      <t xml:space="preserve"> cos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</t>
    </r>
  </si>
  <si>
    <t>R / X</t>
  </si>
  <si>
    <t>Verhältnisse</t>
  </si>
  <si>
    <r>
      <t>S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[MVA]</t>
    </r>
  </si>
  <si>
    <r>
      <t>U</t>
    </r>
    <r>
      <rPr>
        <vertAlign val="subscript"/>
        <sz val="8"/>
        <rFont val="Arial"/>
        <family val="2"/>
      </rPr>
      <t>2r</t>
    </r>
    <r>
      <rPr>
        <sz val="8"/>
        <rFont val="Arial"/>
        <family val="2"/>
      </rPr>
      <t xml:space="preserve"> [kV]</t>
    </r>
  </si>
  <si>
    <r>
      <t>I</t>
    </r>
    <r>
      <rPr>
        <vertAlign val="subscript"/>
        <sz val="8"/>
        <rFont val="Arial"/>
        <family val="2"/>
      </rPr>
      <t>2r</t>
    </r>
    <r>
      <rPr>
        <sz val="8"/>
        <rFont val="Arial"/>
        <family val="2"/>
      </rPr>
      <t xml:space="preserve"> [A]</t>
    </r>
  </si>
  <si>
    <r>
      <t>P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 xml:space="preserve"> [kW]</t>
    </r>
  </si>
  <si>
    <r>
      <t>z</t>
    </r>
    <r>
      <rPr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 [%]</t>
    </r>
  </si>
  <si>
    <r>
      <t>z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[%]</t>
    </r>
  </si>
  <si>
    <r>
      <t>Z</t>
    </r>
    <r>
      <rPr>
        <vertAlign val="subscript"/>
        <sz val="8"/>
        <rFont val="Arial"/>
        <family val="2"/>
      </rPr>
      <t>k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W]</t>
    </r>
  </si>
  <si>
    <r>
      <t>Y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= 1/ 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[S]</t>
    </r>
  </si>
  <si>
    <t>Im / Re</t>
  </si>
  <si>
    <r>
      <t>G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= 1/ 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[S]</t>
    </r>
  </si>
  <si>
    <t>Parallelschaltung Ltg A und Ltg B</t>
  </si>
  <si>
    <t>Impedanz am Transformator</t>
  </si>
  <si>
    <r>
      <t>I²</t>
    </r>
    <r>
      <rPr>
        <vertAlign val="subscript"/>
        <sz val="8"/>
        <rFont val="Arial"/>
        <family val="2"/>
      </rPr>
      <t>LtgA</t>
    </r>
  </si>
  <si>
    <r>
      <t>I²</t>
    </r>
    <r>
      <rPr>
        <vertAlign val="subscript"/>
        <sz val="8"/>
        <rFont val="Arial"/>
        <family val="2"/>
      </rPr>
      <t>LtgB</t>
    </r>
  </si>
  <si>
    <t xml:space="preserve">Leistung an der Last </t>
  </si>
  <si>
    <t>[MVA]</t>
  </si>
  <si>
    <r>
      <t>I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 xml:space="preserve">LtgB  </t>
    </r>
  </si>
  <si>
    <t>Betrag [A]</t>
  </si>
  <si>
    <t>Leiter-Leiter-Spannung</t>
  </si>
  <si>
    <r>
      <t>S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 xml:space="preserve">B  </t>
    </r>
  </si>
  <si>
    <r>
      <t>P</t>
    </r>
    <r>
      <rPr>
        <vertAlign val="subscript"/>
        <sz val="8"/>
        <rFont val="Arial"/>
        <family val="2"/>
      </rPr>
      <t>A</t>
    </r>
    <r>
      <rPr>
        <sz val="8"/>
        <rFont val="Arial"/>
        <family val="2"/>
      </rPr>
      <t xml:space="preserve"> / P</t>
    </r>
    <r>
      <rPr>
        <vertAlign val="subscript"/>
        <sz val="8"/>
        <rFont val="Arial"/>
        <family val="2"/>
      </rPr>
      <t>B</t>
    </r>
  </si>
  <si>
    <r>
      <t>U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LastB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[V]</t>
    </r>
  </si>
  <si>
    <t>Differenz [°]</t>
  </si>
  <si>
    <t>Kreisstrom in den Leitungen</t>
  </si>
  <si>
    <t>Klemmenspannung</t>
  </si>
  <si>
    <t xml:space="preserve">Spannungsfall </t>
  </si>
  <si>
    <t>Summe der Spannungen</t>
  </si>
  <si>
    <r>
      <t>P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- P</t>
    </r>
    <r>
      <rPr>
        <vertAlign val="subscript"/>
        <sz val="8"/>
        <rFont val="Arial"/>
        <family val="2"/>
      </rPr>
      <t xml:space="preserve">min </t>
    </r>
  </si>
  <si>
    <t>Leerlaufspannung</t>
  </si>
  <si>
    <r>
      <t>U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k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</si>
  <si>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TKlem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0T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</si>
  <si>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0Zu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0Zu1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 xml:space="preserve">0Zu2 </t>
    </r>
  </si>
  <si>
    <r>
      <t>U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LastB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</si>
  <si>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</si>
  <si>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0T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 xml:space="preserve">k </t>
    </r>
    <r>
      <rPr>
        <sz val="8"/>
        <rFont val="Arial"/>
        <family val="2"/>
      </rPr>
      <t>+ U</t>
    </r>
    <r>
      <rPr>
        <vertAlign val="subscript"/>
        <sz val="8"/>
        <rFont val="Arial"/>
        <family val="2"/>
      </rPr>
      <t xml:space="preserve">LtgA </t>
    </r>
    <r>
      <rPr>
        <sz val="8"/>
        <rFont val="Arial"/>
        <family val="2"/>
      </rPr>
      <t>+ U</t>
    </r>
    <r>
      <rPr>
        <vertAlign val="subscript"/>
        <sz val="8"/>
        <rFont val="Arial"/>
        <family val="2"/>
      </rPr>
      <t xml:space="preserve">Last </t>
    </r>
  </si>
  <si>
    <r>
      <t>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 xml:space="preserve">LtgA </t>
    </r>
    <r>
      <rPr>
        <sz val="8"/>
        <rFont val="Arial"/>
        <family val="2"/>
      </rPr>
      <t>+ I</t>
    </r>
    <r>
      <rPr>
        <vertAlign val="subscript"/>
        <sz val="8"/>
        <rFont val="Arial"/>
        <family val="2"/>
      </rPr>
      <t xml:space="preserve">LtgB </t>
    </r>
  </si>
  <si>
    <r>
      <t>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 xml:space="preserve">LtgA* </t>
    </r>
    <r>
      <rPr>
        <sz val="8"/>
        <rFont val="Arial"/>
        <family val="2"/>
      </rPr>
      <t>+ I</t>
    </r>
    <r>
      <rPr>
        <vertAlign val="subscript"/>
        <sz val="8"/>
        <rFont val="Arial"/>
        <family val="2"/>
      </rPr>
      <t xml:space="preserve">LtgB* </t>
    </r>
  </si>
  <si>
    <r>
      <t>U</t>
    </r>
    <r>
      <rPr>
        <vertAlign val="subscript"/>
        <sz val="8"/>
        <rFont val="Arial"/>
        <family val="2"/>
      </rPr>
      <t>0Zu</t>
    </r>
    <r>
      <rPr>
        <sz val="8"/>
        <rFont val="Arial"/>
        <family val="2"/>
      </rPr>
      <t xml:space="preserve"> / U</t>
    </r>
    <r>
      <rPr>
        <vertAlign val="subscript"/>
        <sz val="8"/>
        <rFont val="Arial"/>
        <family val="2"/>
      </rPr>
      <t>0T</t>
    </r>
    <r>
      <rPr>
        <sz val="8"/>
        <rFont val="Arial"/>
        <family val="2"/>
      </rPr>
      <t xml:space="preserve"> [%]</t>
    </r>
  </si>
  <si>
    <t>Daten pro Strang</t>
  </si>
  <si>
    <t>Q [Mvar]</t>
  </si>
  <si>
    <r>
      <t>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0T</t>
    </r>
    <r>
      <rPr>
        <sz val="8"/>
        <rFont val="Arial"/>
        <family val="2"/>
      </rPr>
      <t xml:space="preserve"> / Z</t>
    </r>
    <r>
      <rPr>
        <vertAlign val="subscript"/>
        <sz val="8"/>
        <rFont val="Symbol"/>
        <family val="1"/>
      </rPr>
      <t>S</t>
    </r>
  </si>
  <si>
    <r>
      <t>U</t>
    </r>
    <r>
      <rPr>
        <vertAlign val="subscript"/>
        <sz val="8"/>
        <rFont val="Arial"/>
        <family val="2"/>
      </rPr>
      <t>TKlem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ZuKlem</t>
    </r>
    <r>
      <rPr>
        <sz val="8"/>
        <rFont val="Arial"/>
        <family val="2"/>
      </rPr>
      <t xml:space="preserve"> </t>
    </r>
  </si>
  <si>
    <r>
      <t xml:space="preserve">z = </t>
    </r>
    <r>
      <rPr>
        <sz val="8"/>
        <rFont val="Arial"/>
        <family val="2"/>
      </rPr>
      <t>u</t>
    </r>
    <r>
      <rPr>
        <vertAlign val="subscript"/>
        <sz val="8"/>
        <rFont val="Arial"/>
        <family val="2"/>
      </rPr>
      <t xml:space="preserve">k </t>
    </r>
    <r>
      <rPr>
        <sz val="8"/>
        <rFont val="Arial"/>
        <family val="2"/>
      </rPr>
      <t>[%]</t>
    </r>
  </si>
  <si>
    <r>
      <t>I</t>
    </r>
    <r>
      <rPr>
        <vertAlign val="subscript"/>
        <sz val="8"/>
        <rFont val="Arial"/>
        <family val="2"/>
      </rPr>
      <t>LtgA*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 xml:space="preserve">LtgB*  </t>
    </r>
  </si>
  <si>
    <t>Leitung A und Leitung B</t>
  </si>
  <si>
    <t>S [kVA]</t>
  </si>
  <si>
    <t>P [kW]</t>
  </si>
  <si>
    <t>Leistungen an den Leitungsimpedanzen (pro Strang)</t>
  </si>
  <si>
    <t>Quadratzahlen</t>
  </si>
  <si>
    <t>Änderung der Leistungen [%]</t>
  </si>
  <si>
    <t>U [V]</t>
  </si>
  <si>
    <r>
      <t>I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[A]</t>
    </r>
  </si>
  <si>
    <r>
      <t>Z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</si>
  <si>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Z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 xml:space="preserve"> = Z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+ 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+ Z</t>
    </r>
    <r>
      <rPr>
        <vertAlign val="subscript"/>
        <sz val="8"/>
        <rFont val="Arial"/>
        <family val="2"/>
      </rPr>
      <t>kZu</t>
    </r>
    <r>
      <rPr>
        <sz val="8"/>
        <rFont val="Arial"/>
        <family val="2"/>
      </rPr>
      <t xml:space="preserve"> </t>
    </r>
  </si>
  <si>
    <r>
      <t>I</t>
    </r>
    <r>
      <rPr>
        <vertAlign val="subscript"/>
        <sz val="8"/>
        <rFont val="Arial"/>
        <family val="2"/>
      </rPr>
      <t>cirA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[A]</t>
    </r>
  </si>
  <si>
    <r>
      <t>I</t>
    </r>
    <r>
      <rPr>
        <vertAlign val="subscript"/>
        <sz val="8"/>
        <rFont val="Arial"/>
        <family val="2"/>
      </rPr>
      <t>cirA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0Zu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 xml:space="preserve"> </t>
    </r>
  </si>
  <si>
    <r>
      <t>I</t>
    </r>
    <r>
      <rPr>
        <vertAlign val="subscript"/>
        <sz val="8"/>
        <rFont val="Arial"/>
        <family val="2"/>
      </rPr>
      <t>cirB</t>
    </r>
    <r>
      <rPr>
        <sz val="8"/>
        <rFont val="Arial"/>
        <family val="2"/>
      </rPr>
      <t xml:space="preserve"> = - I</t>
    </r>
    <r>
      <rPr>
        <vertAlign val="subscript"/>
        <sz val="8"/>
        <rFont val="Arial"/>
        <family val="2"/>
      </rPr>
      <t xml:space="preserve">cirA </t>
    </r>
  </si>
  <si>
    <r>
      <t>Z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</si>
  <si>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I</t>
    </r>
    <r>
      <rPr>
        <vertAlign val="subscript"/>
        <sz val="8"/>
        <rFont val="Arial"/>
        <family val="2"/>
      </rPr>
      <t>LtgA#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 xml:space="preserve">LtgB#  </t>
    </r>
  </si>
  <si>
    <r>
      <t>I²</t>
    </r>
    <r>
      <rPr>
        <vertAlign val="subscript"/>
        <sz val="8"/>
        <rFont val="Arial"/>
        <family val="2"/>
      </rPr>
      <t>LtgA#</t>
    </r>
  </si>
  <si>
    <r>
      <t>I²</t>
    </r>
    <r>
      <rPr>
        <vertAlign val="subscript"/>
        <sz val="8"/>
        <rFont val="Arial"/>
        <family val="2"/>
      </rPr>
      <t>LtgB#</t>
    </r>
  </si>
  <si>
    <t>natürliche Verteilung</t>
  </si>
  <si>
    <r>
      <t>S</t>
    </r>
    <r>
      <rPr>
        <vertAlign val="subscript"/>
        <sz val="8"/>
        <rFont val="Arial"/>
        <family val="2"/>
      </rPr>
      <t>A#</t>
    </r>
    <r>
      <rPr>
        <sz val="8"/>
        <rFont val="Arial"/>
        <family val="2"/>
      </rPr>
      <t xml:space="preserve"> / S</t>
    </r>
    <r>
      <rPr>
        <vertAlign val="subscript"/>
        <sz val="8"/>
        <rFont val="Arial"/>
        <family val="2"/>
      </rPr>
      <t xml:space="preserve">B#  </t>
    </r>
  </si>
  <si>
    <r>
      <t>P</t>
    </r>
    <r>
      <rPr>
        <vertAlign val="subscript"/>
        <sz val="8"/>
        <rFont val="Arial"/>
        <family val="2"/>
      </rPr>
      <t>A#</t>
    </r>
    <r>
      <rPr>
        <sz val="8"/>
        <rFont val="Arial"/>
        <family val="2"/>
      </rPr>
      <t xml:space="preserve"> / P</t>
    </r>
    <r>
      <rPr>
        <vertAlign val="subscript"/>
        <sz val="8"/>
        <rFont val="Arial"/>
        <family val="2"/>
      </rPr>
      <t xml:space="preserve">B#  </t>
    </r>
  </si>
  <si>
    <r>
      <t>U</t>
    </r>
    <r>
      <rPr>
        <vertAlign val="subscript"/>
        <sz val="8"/>
        <rFont val="Arial"/>
        <family val="2"/>
      </rPr>
      <t xml:space="preserve">LtgA </t>
    </r>
    <r>
      <rPr>
        <sz val="8"/>
        <rFont val="Arial"/>
        <family val="2"/>
      </rPr>
      <t>- U</t>
    </r>
    <r>
      <rPr>
        <vertAlign val="subscript"/>
        <sz val="8"/>
        <rFont val="Arial"/>
        <family val="2"/>
      </rPr>
      <t>LtgA#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</si>
  <si>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LtgB#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LtgB#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 xml:space="preserve">LtgB </t>
    </r>
  </si>
  <si>
    <r>
      <t>Schleife: U</t>
    </r>
    <r>
      <rPr>
        <vertAlign val="subscript"/>
        <sz val="8"/>
        <rFont val="Arial"/>
        <family val="2"/>
      </rPr>
      <t>LtgA#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Zu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LtgB#</t>
    </r>
    <r>
      <rPr>
        <sz val="8"/>
        <rFont val="Arial"/>
        <family val="2"/>
      </rPr>
      <t xml:space="preserve"> </t>
    </r>
  </si>
  <si>
    <r>
      <t>P</t>
    </r>
    <r>
      <rPr>
        <vertAlign val="subscript"/>
        <sz val="8"/>
        <rFont val="Arial"/>
        <family val="2"/>
      </rPr>
      <t>Ltg#</t>
    </r>
    <r>
      <rPr>
        <sz val="8"/>
        <rFont val="Arial"/>
        <family val="2"/>
      </rPr>
      <t xml:space="preserve"> - P</t>
    </r>
    <r>
      <rPr>
        <vertAlign val="subscript"/>
        <sz val="8"/>
        <rFont val="Arial"/>
        <family val="2"/>
      </rPr>
      <t xml:space="preserve">min </t>
    </r>
  </si>
  <si>
    <r>
      <t>Querspannung      U</t>
    </r>
    <r>
      <rPr>
        <vertAlign val="subscript"/>
        <sz val="8"/>
        <rFont val="Arial"/>
        <family val="2"/>
      </rPr>
      <t>0Zu1</t>
    </r>
    <r>
      <rPr>
        <sz val="8"/>
        <rFont val="Arial"/>
        <family val="2"/>
      </rPr>
      <t xml:space="preserve"> </t>
    </r>
  </si>
  <si>
    <r>
      <t>Längsspannung      U</t>
    </r>
    <r>
      <rPr>
        <vertAlign val="subscript"/>
        <sz val="8"/>
        <rFont val="Arial"/>
        <family val="2"/>
      </rPr>
      <t>0Zu2</t>
    </r>
    <r>
      <rPr>
        <sz val="8"/>
        <rFont val="Arial"/>
        <family val="2"/>
      </rPr>
      <t xml:space="preserve"> </t>
    </r>
  </si>
  <si>
    <r>
      <t>Y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= 1/ Z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[S]</t>
    </r>
  </si>
  <si>
    <r>
      <t>G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= 1/ R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[S]</t>
    </r>
  </si>
  <si>
    <r>
      <t>Y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+ Y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[S]  </t>
    </r>
  </si>
  <si>
    <r>
      <t>Z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 // 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</si>
  <si>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Z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+ 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</si>
  <si>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Z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/ ( Z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+ 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>)</t>
    </r>
  </si>
  <si>
    <r>
      <t>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/ ( Z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+ 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>)</t>
    </r>
  </si>
  <si>
    <r>
      <t>R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+ 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</si>
  <si>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G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+ G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[S]  </t>
    </r>
  </si>
  <si>
    <r>
      <t>R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 // 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</si>
  <si>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/ ( R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+ 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>)</t>
    </r>
  </si>
  <si>
    <r>
      <t>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/ ( R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+ 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>)</t>
    </r>
  </si>
  <si>
    <r>
      <t>Z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+ (Z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// 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>)</t>
    </r>
  </si>
  <si>
    <r>
      <t>Z</t>
    </r>
    <r>
      <rPr>
        <vertAlign val="subscript"/>
        <sz val="8"/>
        <rFont val="Symbol"/>
        <family val="1"/>
      </rPr>
      <t>S</t>
    </r>
    <r>
      <rPr>
        <sz val="8"/>
        <rFont val="Arial"/>
        <family val="2"/>
      </rPr>
      <t xml:space="preserve"> = Z</t>
    </r>
    <r>
      <rPr>
        <vertAlign val="subscript"/>
        <sz val="8"/>
        <rFont val="Arial"/>
        <family val="2"/>
      </rPr>
      <t>k</t>
    </r>
    <r>
      <rPr>
        <sz val="8"/>
        <rFont val="Arial"/>
        <family val="2"/>
      </rPr>
      <t xml:space="preserve"> + Z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+ (Z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// 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</si>
  <si>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>*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/ ( R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+ 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) </t>
    </r>
  </si>
  <si>
    <r>
      <t>I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>*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R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/ ( R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+ 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) </t>
    </r>
  </si>
  <si>
    <r>
      <t>Betrag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</si>
  <si>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Zu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</si>
  <si>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kZu</t>
    </r>
  </si>
  <si>
    <r>
      <t>X</t>
    </r>
    <r>
      <rPr>
        <vertAlign val="subscript"/>
        <sz val="8"/>
        <rFont val="Arial"/>
        <family val="2"/>
      </rPr>
      <t>Zu</t>
    </r>
  </si>
  <si>
    <r>
      <t>U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LastA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LtgA"</t>
    </r>
  </si>
  <si>
    <r>
      <t xml:space="preserve">Leiterspannungen </t>
    </r>
    <r>
      <rPr>
        <sz val="8"/>
        <rFont val="Arial"/>
        <family val="2"/>
      </rPr>
      <t>(Leiter-Sternpunkt)</t>
    </r>
  </si>
  <si>
    <r>
      <t>U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LastA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</si>
  <si>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LtgA#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LtgA#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</t>
    </r>
  </si>
  <si>
    <r>
      <t>I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 xml:space="preserve">Last  </t>
    </r>
  </si>
  <si>
    <r>
      <t>I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 xml:space="preserve">Last  </t>
    </r>
  </si>
  <si>
    <t>Betrag [V]</t>
  </si>
  <si>
    <t>Korrekturstrom</t>
  </si>
  <si>
    <t>Korrekturspannung</t>
  </si>
  <si>
    <t>Sollwerte</t>
  </si>
  <si>
    <r>
      <t>Re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</si>
  <si>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Im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</si>
  <si>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t>Re [V]</t>
  </si>
  <si>
    <t>Im [V]</t>
  </si>
  <si>
    <t>Re [A]</t>
  </si>
  <si>
    <t>Im [A]</t>
  </si>
  <si>
    <r>
      <t>R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</t>
    </r>
  </si>
  <si>
    <r>
      <t>X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</si>
  <si>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</t>
    </r>
  </si>
  <si>
    <r>
      <t>R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= R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+ R</t>
    </r>
    <r>
      <rPr>
        <vertAlign val="subscript"/>
        <sz val="8"/>
        <rFont val="Arial"/>
        <family val="2"/>
      </rPr>
      <t>kZu</t>
    </r>
    <r>
      <rPr>
        <sz val="8"/>
        <rFont val="Arial"/>
        <family val="2"/>
      </rPr>
      <t xml:space="preserve"> </t>
    </r>
  </si>
  <si>
    <r>
      <t>X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+ X</t>
    </r>
    <r>
      <rPr>
        <vertAlign val="subscript"/>
        <sz val="8"/>
        <rFont val="Arial"/>
        <family val="2"/>
      </rPr>
      <t>kZu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</si>
  <si>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= Z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+ Z</t>
    </r>
    <r>
      <rPr>
        <vertAlign val="subscript"/>
        <sz val="8"/>
        <rFont val="Arial"/>
        <family val="2"/>
      </rPr>
      <t>kZu</t>
    </r>
    <r>
      <rPr>
        <sz val="8"/>
        <rFont val="Arial"/>
        <family val="2"/>
      </rPr>
      <t xml:space="preserve"> </t>
    </r>
  </si>
  <si>
    <r>
      <t>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</t>
    </r>
  </si>
  <si>
    <r>
      <t>X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</si>
  <si>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</t>
    </r>
  </si>
  <si>
    <r>
      <t>R</t>
    </r>
    <r>
      <rPr>
        <sz val="8"/>
        <rFont val="Arial"/>
        <family val="2"/>
      </rPr>
      <t xml:space="preserve"> </t>
    </r>
  </si>
  <si>
    <r>
      <t>X</t>
    </r>
    <r>
      <rPr>
        <sz val="8"/>
        <rFont val="Arial"/>
        <family val="2"/>
      </rPr>
      <t xml:space="preserve"> </t>
    </r>
  </si>
  <si>
    <r>
      <t>Z</t>
    </r>
    <r>
      <rPr>
        <vertAlign val="subscript"/>
        <sz val="8"/>
        <rFont val="Arial"/>
        <family val="2"/>
      </rPr>
      <t>k</t>
    </r>
    <r>
      <rPr>
        <sz val="8"/>
        <rFont val="Arial"/>
        <family val="2"/>
      </rPr>
      <t xml:space="preserve"> </t>
    </r>
  </si>
  <si>
    <t>gegen Re</t>
  </si>
  <si>
    <r>
      <t>U</t>
    </r>
    <r>
      <rPr>
        <vertAlign val="subscript"/>
        <sz val="8"/>
        <rFont val="Arial"/>
        <family val="2"/>
      </rPr>
      <t>T*Klem</t>
    </r>
    <r>
      <rPr>
        <sz val="8"/>
        <rFont val="Arial"/>
        <family val="2"/>
      </rPr>
      <t xml:space="preserve"> / U</t>
    </r>
    <r>
      <rPr>
        <vertAlign val="subscript"/>
        <sz val="8"/>
        <rFont val="Arial"/>
        <family val="2"/>
      </rPr>
      <t>TKlem</t>
    </r>
    <r>
      <rPr>
        <sz val="8"/>
        <rFont val="Arial"/>
        <family val="2"/>
      </rPr>
      <t xml:space="preserve"> [%]</t>
    </r>
  </si>
  <si>
    <t>Leitwerte / Impedanzen</t>
  </si>
  <si>
    <t>Wirkwiderstände / Leitwerte</t>
  </si>
  <si>
    <t>Verteilung des Laststromes auf den Leitungen</t>
  </si>
  <si>
    <r>
      <t>R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</si>
  <si>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X [</t>
    </r>
    <r>
      <rPr>
        <sz val="8"/>
        <rFont val="Symbol"/>
        <family val="1"/>
      </rPr>
      <t>W</t>
    </r>
    <r>
      <rPr>
        <sz val="8"/>
        <rFont val="Arial"/>
        <family val="2"/>
      </rPr>
      <t>]</t>
    </r>
  </si>
  <si>
    <r>
      <t>j</t>
    </r>
    <r>
      <rPr>
        <vertAlign val="subscript"/>
        <sz val="8"/>
        <rFont val="Arial"/>
        <family val="2"/>
      </rPr>
      <t>ULast</t>
    </r>
    <r>
      <rPr>
        <sz val="8"/>
        <rFont val="Arial"/>
        <family val="2"/>
      </rPr>
      <t xml:space="preserve"> - </t>
    </r>
    <r>
      <rPr>
        <sz val="8"/>
        <rFont val="Symbol"/>
        <family val="1"/>
      </rPr>
      <t xml:space="preserve">j </t>
    </r>
    <r>
      <rPr>
        <vertAlign val="subscript"/>
        <sz val="8"/>
        <rFont val="Arial"/>
        <family val="2"/>
      </rPr>
      <t>ILast</t>
    </r>
    <r>
      <rPr>
        <sz val="8"/>
        <rFont val="Arial"/>
        <family val="2"/>
      </rPr>
      <t xml:space="preserve"> [°]</t>
    </r>
  </si>
  <si>
    <t>optimale Verteilung</t>
  </si>
  <si>
    <t>Differenz</t>
  </si>
  <si>
    <r>
      <t>Bilanz</t>
    </r>
    <r>
      <rPr>
        <sz val="8"/>
        <rFont val="Arial"/>
        <family val="2"/>
      </rPr>
      <t xml:space="preserve"> der Leistungen  [%]</t>
    </r>
  </si>
  <si>
    <r>
      <t>Leiter-Sternpunkt-Spannung U</t>
    </r>
    <r>
      <rPr>
        <vertAlign val="subscript"/>
        <sz val="8"/>
        <rFont val="Arial"/>
        <family val="2"/>
      </rPr>
      <t>0T</t>
    </r>
    <r>
      <rPr>
        <sz val="8"/>
        <rFont val="Arial"/>
        <family val="2"/>
      </rPr>
      <t xml:space="preserve"> </t>
    </r>
  </si>
  <si>
    <r>
      <t>I</t>
    </r>
    <r>
      <rPr>
        <vertAlign val="subscript"/>
        <sz val="8"/>
        <rFont val="Arial"/>
        <family val="2"/>
      </rPr>
      <t>LtgA#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cirA</t>
    </r>
    <r>
      <rPr>
        <sz val="8"/>
        <rFont val="Arial"/>
        <family val="2"/>
      </rPr>
      <t xml:space="preserve"> </t>
    </r>
  </si>
  <si>
    <r>
      <t>I</t>
    </r>
    <r>
      <rPr>
        <vertAlign val="subscript"/>
        <sz val="8"/>
        <rFont val="Arial"/>
        <family val="2"/>
      </rPr>
      <t>LtgB#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 xml:space="preserve">LtgB </t>
    </r>
    <r>
      <rPr>
        <sz val="8"/>
        <rFont val="Arial"/>
        <family val="2"/>
      </rPr>
      <t>- I</t>
    </r>
    <r>
      <rPr>
        <vertAlign val="subscript"/>
        <sz val="8"/>
        <rFont val="Arial"/>
        <family val="2"/>
      </rPr>
      <t>cirA</t>
    </r>
    <r>
      <rPr>
        <sz val="8"/>
        <rFont val="Arial"/>
        <family val="2"/>
      </rPr>
      <t xml:space="preserve"> </t>
    </r>
  </si>
  <si>
    <r>
      <t>P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 xml:space="preserve"> / P</t>
    </r>
    <r>
      <rPr>
        <vertAlign val="subscript"/>
        <sz val="8"/>
        <rFont val="Arial"/>
        <family val="2"/>
      </rPr>
      <t xml:space="preserve">min </t>
    </r>
  </si>
  <si>
    <r>
      <t>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/ R</t>
    </r>
    <r>
      <rPr>
        <vertAlign val="subscript"/>
        <sz val="8"/>
        <rFont val="Arial"/>
        <family val="2"/>
      </rPr>
      <t xml:space="preserve">LtgA  </t>
    </r>
  </si>
  <si>
    <r>
      <t>Z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</t>
    </r>
  </si>
  <si>
    <r>
      <t>sgn</t>
    </r>
    <r>
      <rPr>
        <sz val="8"/>
        <rFont val="Symbol"/>
        <family val="1"/>
      </rPr>
      <t xml:space="preserve"> j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[°]</t>
    </r>
  </si>
  <si>
    <r>
      <t>I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/ ( Z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+ 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</si>
  <si>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/ ( Z</t>
    </r>
    <r>
      <rPr>
        <vertAlign val="subscript"/>
        <sz val="8"/>
        <rFont val="Arial"/>
        <family val="2"/>
      </rPr>
      <t>LtgA"</t>
    </r>
    <r>
      <rPr>
        <sz val="8"/>
        <rFont val="Arial"/>
        <family val="2"/>
      </rPr>
      <t xml:space="preserve"> + 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>)</t>
    </r>
  </si>
  <si>
    <r>
      <t>I</t>
    </r>
    <r>
      <rPr>
        <vertAlign val="subscript"/>
        <sz val="8"/>
        <rFont val="Arial"/>
        <family val="2"/>
      </rPr>
      <t>LtgA#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 xml:space="preserve">Last  </t>
    </r>
  </si>
  <si>
    <r>
      <t>I</t>
    </r>
    <r>
      <rPr>
        <vertAlign val="subscript"/>
        <sz val="8"/>
        <rFont val="Arial"/>
        <family val="2"/>
      </rPr>
      <t>LtgB#</t>
    </r>
    <r>
      <rPr>
        <sz val="8"/>
        <rFont val="Arial"/>
        <family val="2"/>
      </rPr>
      <t xml:space="preserve"> / I</t>
    </r>
    <r>
      <rPr>
        <vertAlign val="subscript"/>
        <sz val="8"/>
        <rFont val="Arial"/>
        <family val="2"/>
      </rPr>
      <t xml:space="preserve">Last  </t>
    </r>
  </si>
  <si>
    <t xml:space="preserve">Erforderliche Korrekturwerte für vorgegebene Stromverteilung </t>
  </si>
  <si>
    <t>Vorgaben</t>
  </si>
  <si>
    <r>
      <t>U</t>
    </r>
    <r>
      <rPr>
        <vertAlign val="subscript"/>
        <sz val="8"/>
        <rFont val="Arial"/>
        <family val="2"/>
      </rPr>
      <t>längs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</si>
  <si>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quer</t>
    </r>
    <r>
      <rPr>
        <sz val="8"/>
        <rFont val="Arial"/>
        <family val="2"/>
      </rPr>
      <t xml:space="preserve"> [V]</t>
    </r>
  </si>
  <si>
    <t>Istwerte</t>
  </si>
  <si>
    <t>Impedanz der Last (Sternschaltung; symmetrisch;  Last spannungsunabhängig)</t>
  </si>
  <si>
    <r>
      <t>U</t>
    </r>
    <r>
      <rPr>
        <vertAlign val="subscript"/>
        <sz val="8"/>
        <rFont val="Arial"/>
        <family val="2"/>
      </rPr>
      <t>längs soll</t>
    </r>
  </si>
  <si>
    <r>
      <t>U</t>
    </r>
    <r>
      <rPr>
        <vertAlign val="subscript"/>
        <sz val="8"/>
        <rFont val="Arial"/>
        <family val="2"/>
      </rPr>
      <t>quer soll</t>
    </r>
  </si>
  <si>
    <r>
      <t>Istwert in Leitung A   I</t>
    </r>
    <r>
      <rPr>
        <vertAlign val="subscript"/>
        <sz val="8"/>
        <rFont val="Arial"/>
        <family val="2"/>
      </rPr>
      <t>cirA ist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0Zu</t>
    </r>
    <r>
      <rPr>
        <sz val="8"/>
        <rFont val="Arial"/>
        <family val="2"/>
      </rPr>
      <t xml:space="preserve"> / Z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</si>
  <si>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 xml:space="preserve">ist </t>
    </r>
    <r>
      <rPr>
        <sz val="8"/>
        <rFont val="Arial"/>
        <family val="2"/>
      </rPr>
      <t>- U</t>
    </r>
    <r>
      <rPr>
        <vertAlign val="subscript"/>
        <sz val="8"/>
        <rFont val="Arial"/>
        <family val="2"/>
      </rPr>
      <t>soll</t>
    </r>
  </si>
  <si>
    <r>
      <t>j Z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[°]</t>
    </r>
  </si>
  <si>
    <r>
      <t>j Z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[°]</t>
    </r>
  </si>
  <si>
    <r>
      <t xml:space="preserve">j </t>
    </r>
    <r>
      <rPr>
        <b/>
        <sz val="8"/>
        <rFont val="Arial"/>
        <family val="2"/>
      </rPr>
      <t>I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[°]</t>
    </r>
  </si>
  <si>
    <r>
      <t xml:space="preserve">j </t>
    </r>
    <r>
      <rPr>
        <b/>
        <sz val="8"/>
        <rFont val="Arial"/>
        <family val="2"/>
      </rPr>
      <t>I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[°]</t>
    </r>
  </si>
  <si>
    <r>
      <t>R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/ X</t>
    </r>
    <r>
      <rPr>
        <vertAlign val="subscript"/>
        <sz val="8"/>
        <rFont val="Arial"/>
        <family val="2"/>
      </rPr>
      <t xml:space="preserve">LtgA  </t>
    </r>
  </si>
  <si>
    <r>
      <t>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 xml:space="preserve"> / X</t>
    </r>
    <r>
      <rPr>
        <vertAlign val="subscript"/>
        <sz val="8"/>
        <rFont val="Arial"/>
        <family val="2"/>
      </rPr>
      <t xml:space="preserve">LtgB  </t>
    </r>
  </si>
  <si>
    <r>
      <t>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 xml:space="preserve">LtgA# </t>
    </r>
    <r>
      <rPr>
        <sz val="8"/>
        <rFont val="Arial"/>
        <family val="2"/>
      </rPr>
      <t>+ I</t>
    </r>
    <r>
      <rPr>
        <vertAlign val="subscript"/>
        <sz val="8"/>
        <rFont val="Arial"/>
        <family val="2"/>
      </rPr>
      <t xml:space="preserve">LtgB# </t>
    </r>
  </si>
  <si>
    <r>
      <t>I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 xml:space="preserve">LtgA ist </t>
    </r>
    <r>
      <rPr>
        <sz val="8"/>
        <rFont val="Arial"/>
        <family val="2"/>
      </rPr>
      <t>+ I</t>
    </r>
    <r>
      <rPr>
        <vertAlign val="subscript"/>
        <sz val="8"/>
        <rFont val="Arial"/>
        <family val="2"/>
      </rPr>
      <t xml:space="preserve">LtgB ist </t>
    </r>
  </si>
  <si>
    <r>
      <t>tan</t>
    </r>
    <r>
      <rPr>
        <sz val="8"/>
        <rFont val="Symbol"/>
        <family val="1"/>
      </rPr>
      <t>j</t>
    </r>
  </si>
  <si>
    <r>
      <t>arctan</t>
    </r>
    <r>
      <rPr>
        <sz val="8"/>
        <rFont val="Symbol"/>
        <family val="1"/>
      </rPr>
      <t>j</t>
    </r>
  </si>
  <si>
    <r>
      <t>I</t>
    </r>
    <r>
      <rPr>
        <vertAlign val="subscript"/>
        <sz val="8"/>
        <rFont val="Arial"/>
        <family val="2"/>
      </rPr>
      <t>LtgB ist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 xml:space="preserve">LtgB </t>
    </r>
    <r>
      <rPr>
        <sz val="8"/>
        <rFont val="Arial"/>
        <family val="2"/>
      </rPr>
      <t>- I</t>
    </r>
    <r>
      <rPr>
        <vertAlign val="subscript"/>
        <sz val="8"/>
        <rFont val="Arial"/>
        <family val="2"/>
      </rPr>
      <t>cirA ist</t>
    </r>
    <r>
      <rPr>
        <sz val="8"/>
        <rFont val="Arial"/>
        <family val="2"/>
      </rPr>
      <t xml:space="preserve"> </t>
    </r>
  </si>
  <si>
    <r>
      <t>I</t>
    </r>
    <r>
      <rPr>
        <vertAlign val="subscript"/>
        <sz val="8"/>
        <rFont val="Arial"/>
        <family val="2"/>
      </rPr>
      <t>cir soll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LtgA#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LtgA</t>
    </r>
  </si>
  <si>
    <r>
      <t>- I</t>
    </r>
    <r>
      <rPr>
        <vertAlign val="subscript"/>
        <sz val="8"/>
        <rFont val="Arial"/>
        <family val="2"/>
      </rPr>
      <t>cir soll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LtgB#</t>
    </r>
    <r>
      <rPr>
        <sz val="8"/>
        <rFont val="Arial"/>
        <family val="2"/>
      </rPr>
      <t xml:space="preserve"> - I</t>
    </r>
    <r>
      <rPr>
        <vertAlign val="subscript"/>
        <sz val="8"/>
        <rFont val="Arial"/>
        <family val="2"/>
      </rPr>
      <t>LtgB#</t>
    </r>
  </si>
  <si>
    <r>
      <t>U</t>
    </r>
    <r>
      <rPr>
        <vertAlign val="subscript"/>
        <sz val="8"/>
        <rFont val="Arial"/>
        <family val="2"/>
      </rPr>
      <t>0ZuA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 xml:space="preserve"> </t>
    </r>
  </si>
  <si>
    <r>
      <t>oder         U</t>
    </r>
    <r>
      <rPr>
        <vertAlign val="subscript"/>
        <sz val="8"/>
        <rFont val="Arial"/>
        <family val="2"/>
      </rPr>
      <t>0ZuB</t>
    </r>
    <r>
      <rPr>
        <sz val="8"/>
        <rFont val="Arial"/>
        <family val="2"/>
      </rPr>
      <t xml:space="preserve"> = - I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cir</t>
    </r>
    <r>
      <rPr>
        <sz val="8"/>
        <rFont val="Arial"/>
        <family val="2"/>
      </rPr>
      <t xml:space="preserve"> </t>
    </r>
  </si>
  <si>
    <r>
      <t>U</t>
    </r>
    <r>
      <rPr>
        <vertAlign val="subscript"/>
        <sz val="8"/>
        <rFont val="Arial"/>
        <family val="2"/>
      </rPr>
      <t>LtgB#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Zu</t>
    </r>
    <r>
      <rPr>
        <sz val="8"/>
        <rFont val="Arial"/>
        <family val="2"/>
      </rPr>
      <t xml:space="preserve"> [V]</t>
    </r>
  </si>
  <si>
    <t>bei geregelter Stromverteilung</t>
  </si>
  <si>
    <r>
      <t>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</si>
  <si>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 xml:space="preserve"> / U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 </t>
    </r>
  </si>
  <si>
    <t>ungeregelt; ohne Zusatzspannung</t>
  </si>
  <si>
    <r>
      <t>Ltg</t>
    </r>
    <r>
      <rPr>
        <vertAlign val="subscript"/>
        <sz val="8"/>
        <rFont val="Arial"/>
        <family val="2"/>
      </rPr>
      <t>A</t>
    </r>
  </si>
  <si>
    <r>
      <t xml:space="preserve">j </t>
    </r>
    <r>
      <rPr>
        <u val="single"/>
        <sz val="8"/>
        <rFont val="Arial"/>
        <family val="2"/>
      </rPr>
      <t>U</t>
    </r>
    <r>
      <rPr>
        <vertAlign val="subscript"/>
        <sz val="8"/>
        <rFont val="Arial"/>
        <family val="2"/>
      </rPr>
      <t>ZA</t>
    </r>
    <r>
      <rPr>
        <sz val="8"/>
        <rFont val="Arial"/>
        <family val="2"/>
      </rPr>
      <t xml:space="preserve"> - </t>
    </r>
    <r>
      <rPr>
        <sz val="8"/>
        <rFont val="Symbol"/>
        <family val="1"/>
      </rPr>
      <t xml:space="preserve">j </t>
    </r>
    <r>
      <rPr>
        <u val="single"/>
        <sz val="8"/>
        <rFont val="Symbol"/>
        <family val="1"/>
      </rPr>
      <t>I</t>
    </r>
    <r>
      <rPr>
        <vertAlign val="subscript"/>
        <sz val="8"/>
        <rFont val="Arial"/>
        <family val="2"/>
      </rPr>
      <t>cir soll</t>
    </r>
    <r>
      <rPr>
        <sz val="8"/>
        <rFont val="Symbol"/>
        <family val="1"/>
      </rPr>
      <t xml:space="preserve"> </t>
    </r>
  </si>
  <si>
    <r>
      <t xml:space="preserve">j </t>
    </r>
    <r>
      <rPr>
        <u val="single"/>
        <sz val="8"/>
        <rFont val="Arial"/>
        <family val="2"/>
      </rPr>
      <t>U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- </t>
    </r>
    <r>
      <rPr>
        <sz val="8"/>
        <rFont val="Symbol"/>
        <family val="1"/>
      </rPr>
      <t xml:space="preserve">j </t>
    </r>
    <r>
      <rPr>
        <u val="single"/>
        <sz val="8"/>
        <rFont val="Arial"/>
        <family val="2"/>
      </rPr>
      <t>U</t>
    </r>
    <r>
      <rPr>
        <vertAlign val="subscript"/>
        <sz val="8"/>
        <rFont val="Arial"/>
        <family val="2"/>
      </rPr>
      <t>LtgB</t>
    </r>
  </si>
  <si>
    <t>Spannungen Leitung A</t>
  </si>
  <si>
    <t>Spannungen Leitung B</t>
  </si>
  <si>
    <r>
      <t xml:space="preserve">vorgegebene Verteilung </t>
    </r>
    <r>
      <rPr>
        <i/>
        <sz val="8"/>
        <rFont val="Arial"/>
        <family val="2"/>
      </rPr>
      <t>(Sollwerte)</t>
    </r>
  </si>
  <si>
    <r>
      <t xml:space="preserve">tatsächliche Verteilung </t>
    </r>
    <r>
      <rPr>
        <i/>
        <sz val="8"/>
        <rFont val="Arial"/>
        <family val="2"/>
      </rPr>
      <t>(Istwerte)</t>
    </r>
  </si>
  <si>
    <t>ungeregelt - geregelt</t>
  </si>
  <si>
    <t>Differenzen</t>
  </si>
  <si>
    <r>
      <t>Ltg</t>
    </r>
    <r>
      <rPr>
        <vertAlign val="subscript"/>
        <sz val="8"/>
        <rFont val="Arial"/>
        <family val="2"/>
      </rPr>
      <t>B</t>
    </r>
  </si>
  <si>
    <r>
      <t>(I²</t>
    </r>
    <r>
      <rPr>
        <vertAlign val="subscript"/>
        <sz val="8"/>
        <rFont val="Arial"/>
        <family val="2"/>
      </rPr>
      <t xml:space="preserve">Ltg </t>
    </r>
    <r>
      <rPr>
        <sz val="8"/>
        <rFont val="Arial"/>
        <family val="2"/>
      </rPr>
      <t>Z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>)</t>
    </r>
  </si>
  <si>
    <r>
      <t>(I²</t>
    </r>
    <r>
      <rPr>
        <vertAlign val="subscript"/>
        <sz val="8"/>
        <rFont val="Arial"/>
        <family val="2"/>
      </rPr>
      <t xml:space="preserve">Ltg </t>
    </r>
    <r>
      <rPr>
        <sz val="8"/>
        <rFont val="Arial"/>
        <family val="2"/>
      </rPr>
      <t>X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>)</t>
    </r>
  </si>
  <si>
    <r>
      <t>(I²</t>
    </r>
    <r>
      <rPr>
        <vertAlign val="subscript"/>
        <sz val="8"/>
        <rFont val="Arial"/>
        <family val="2"/>
      </rPr>
      <t xml:space="preserve">Ltg </t>
    </r>
    <r>
      <rPr>
        <sz val="8"/>
        <rFont val="Arial"/>
        <family val="2"/>
      </rPr>
      <t>R</t>
    </r>
    <r>
      <rPr>
        <vertAlign val="subscript"/>
        <sz val="8"/>
        <rFont val="Arial"/>
        <family val="2"/>
      </rPr>
      <t>Ltg</t>
    </r>
    <r>
      <rPr>
        <sz val="8"/>
        <rFont val="Arial"/>
        <family val="2"/>
      </rPr>
      <t>)</t>
    </r>
  </si>
  <si>
    <t>Q [kVar]</t>
  </si>
  <si>
    <r>
      <t>% von U</t>
    </r>
    <r>
      <rPr>
        <vertAlign val="subscript"/>
        <sz val="8"/>
        <rFont val="Arial"/>
        <family val="2"/>
      </rPr>
      <t>T</t>
    </r>
  </si>
  <si>
    <t>Winkel [°]</t>
  </si>
  <si>
    <t>Zusatzspannungsquelle</t>
  </si>
  <si>
    <t>ULL [V]</t>
  </si>
  <si>
    <t>Lasttransformator (Energiequelle)</t>
  </si>
  <si>
    <r>
      <t>P</t>
    </r>
    <r>
      <rPr>
        <vertAlign val="subscript"/>
        <sz val="8"/>
        <rFont val="Arial"/>
        <family val="2"/>
      </rPr>
      <t xml:space="preserve">min </t>
    </r>
    <r>
      <rPr>
        <sz val="8"/>
        <rFont val="Arial"/>
        <family val="2"/>
      </rPr>
      <t>= I²</t>
    </r>
    <r>
      <rPr>
        <vertAlign val="subscript"/>
        <sz val="8"/>
        <rFont val="Arial"/>
        <family val="2"/>
      </rPr>
      <t>Last</t>
    </r>
    <r>
      <rPr>
        <sz val="8"/>
        <rFont val="Arial"/>
        <family val="2"/>
      </rPr>
      <t>(R</t>
    </r>
    <r>
      <rPr>
        <vertAlign val="subscript"/>
        <sz val="8"/>
        <rFont val="Arial"/>
        <family val="2"/>
      </rPr>
      <t xml:space="preserve">LtgA" </t>
    </r>
    <r>
      <rPr>
        <sz val="8"/>
        <rFont val="Arial"/>
        <family val="2"/>
      </rPr>
      <t>//R</t>
    </r>
    <r>
      <rPr>
        <vertAlign val="subscript"/>
        <sz val="8"/>
        <rFont val="Arial"/>
        <family val="2"/>
      </rPr>
      <t>LtgB</t>
    </r>
    <r>
      <rPr>
        <sz val="8"/>
        <rFont val="Arial"/>
        <family val="2"/>
      </rPr>
      <t>) [kW]</t>
    </r>
  </si>
  <si>
    <t>ungeregelt</t>
  </si>
  <si>
    <t>geregelt</t>
  </si>
  <si>
    <t>Winkeldifferenz</t>
  </si>
  <si>
    <t>Winkel der Leiterströme</t>
  </si>
  <si>
    <r>
      <t>Leerlaufspannung U</t>
    </r>
    <r>
      <rPr>
        <vertAlign val="subscript"/>
        <sz val="8"/>
        <rFont val="Arial"/>
        <family val="2"/>
      </rPr>
      <t>0T</t>
    </r>
    <r>
      <rPr>
        <sz val="8"/>
        <rFont val="Arial"/>
        <family val="2"/>
      </rPr>
      <t xml:space="preserve"> + U</t>
    </r>
    <r>
      <rPr>
        <vertAlign val="subscript"/>
        <sz val="8"/>
        <rFont val="Arial"/>
        <family val="2"/>
      </rPr>
      <t>0Zu</t>
    </r>
  </si>
  <si>
    <r>
      <t>Spannungsfall U</t>
    </r>
    <r>
      <rPr>
        <vertAlign val="subscript"/>
        <sz val="8"/>
        <rFont val="Arial"/>
        <family val="2"/>
      </rPr>
      <t>Zu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cirA</t>
    </r>
    <r>
      <rPr>
        <sz val="8"/>
        <rFont val="Arial"/>
        <family val="2"/>
      </rPr>
      <t xml:space="preserve"> Z</t>
    </r>
    <r>
      <rPr>
        <vertAlign val="subscript"/>
        <sz val="8"/>
        <rFont val="Arial"/>
        <family val="2"/>
      </rPr>
      <t>kZu</t>
    </r>
  </si>
  <si>
    <r>
      <t>U</t>
    </r>
    <r>
      <rPr>
        <vertAlign val="subscript"/>
        <sz val="8"/>
        <rFont val="Arial"/>
        <family val="2"/>
      </rPr>
      <t>0Zu1 quer</t>
    </r>
    <r>
      <rPr>
        <sz val="8"/>
        <rFont val="Arial"/>
        <family val="2"/>
      </rPr>
      <t xml:space="preserve"> [V]</t>
    </r>
  </si>
  <si>
    <r>
      <t>U</t>
    </r>
    <r>
      <rPr>
        <vertAlign val="subscript"/>
        <sz val="8"/>
        <rFont val="Arial"/>
        <family val="2"/>
      </rPr>
      <t>0Zu2 längs</t>
    </r>
    <r>
      <rPr>
        <sz val="8"/>
        <rFont val="Arial"/>
        <family val="2"/>
      </rPr>
      <t xml:space="preserve"> [V]</t>
    </r>
  </si>
  <si>
    <t>Sollwerte der</t>
  </si>
  <si>
    <t>Zusatzspannungen</t>
  </si>
  <si>
    <r>
      <t>I</t>
    </r>
    <r>
      <rPr>
        <vertAlign val="subscript"/>
        <sz val="8"/>
        <rFont val="Arial"/>
        <family val="2"/>
      </rPr>
      <t>LtgA ist</t>
    </r>
    <r>
      <rPr>
        <sz val="8"/>
        <rFont val="Arial"/>
        <family val="2"/>
      </rPr>
      <t xml:space="preserve"> = I</t>
    </r>
    <r>
      <rPr>
        <vertAlign val="subscript"/>
        <sz val="8"/>
        <rFont val="Arial"/>
        <family val="2"/>
      </rPr>
      <t>LtgA</t>
    </r>
    <r>
      <rPr>
        <sz val="8"/>
        <rFont val="Arial"/>
        <family val="2"/>
      </rPr>
      <t xml:space="preserve"> + I</t>
    </r>
    <r>
      <rPr>
        <vertAlign val="subscript"/>
        <sz val="8"/>
        <rFont val="Arial"/>
        <family val="2"/>
      </rPr>
      <t>cirA</t>
    </r>
    <r>
      <rPr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>ist</t>
    </r>
  </si>
  <si>
    <r>
      <t>Kontrolle U</t>
    </r>
    <r>
      <rPr>
        <vertAlign val="subscript"/>
        <sz val="8"/>
        <rFont val="Arial"/>
        <family val="2"/>
      </rPr>
      <t>ZuKlem</t>
    </r>
    <r>
      <rPr>
        <sz val="8"/>
        <rFont val="Arial"/>
        <family val="2"/>
      </rPr>
      <t xml:space="preserve"> = U</t>
    </r>
    <r>
      <rPr>
        <vertAlign val="subscript"/>
        <sz val="8"/>
        <rFont val="Arial"/>
        <family val="2"/>
      </rPr>
      <t>0Zu</t>
    </r>
    <r>
      <rPr>
        <sz val="8"/>
        <rFont val="Arial"/>
        <family val="2"/>
      </rPr>
      <t xml:space="preserve"> - U</t>
    </r>
    <r>
      <rPr>
        <vertAlign val="subscript"/>
        <sz val="8"/>
        <rFont val="Arial"/>
        <family val="2"/>
      </rPr>
      <t>Zu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</si>
</sst>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"/>
    <numFmt numFmtId="183" formatCode="0.000000"/>
    <numFmt numFmtId="184" formatCode="0.0000"/>
    <numFmt numFmtId="185" formatCode="0.00000000"/>
    <numFmt numFmtId="186" formatCode="0.0000000"/>
    <numFmt numFmtId="187" formatCode="0.000E+00"/>
    <numFmt numFmtId="188" formatCode="0.E+00"/>
    <numFmt numFmtId="189" formatCode="0.00000E+00"/>
    <numFmt numFmtId="190" formatCode="0.0000E+00"/>
  </numFmts>
  <fonts count="20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8"/>
      <name val="Symbol"/>
      <family val="1"/>
    </font>
    <font>
      <u val="single"/>
      <sz val="8"/>
      <name val="Arial"/>
      <family val="2"/>
    </font>
    <font>
      <sz val="8"/>
      <color indexed="10"/>
      <name val="Arial"/>
      <family val="2"/>
    </font>
    <font>
      <i/>
      <sz val="8"/>
      <color indexed="14"/>
      <name val="Arial"/>
      <family val="2"/>
    </font>
    <font>
      <b/>
      <i/>
      <sz val="8"/>
      <color indexed="20"/>
      <name val="Arial"/>
      <family val="2"/>
    </font>
    <font>
      <b/>
      <sz val="8"/>
      <color indexed="20"/>
      <name val="Arial"/>
      <family val="2"/>
    </font>
    <font>
      <i/>
      <sz val="8"/>
      <color indexed="20"/>
      <name val="Arial"/>
      <family val="2"/>
    </font>
    <font>
      <u val="single"/>
      <sz val="8"/>
      <name val="Symbol"/>
      <family val="1"/>
    </font>
    <font>
      <b/>
      <sz val="10"/>
      <name val="Arial"/>
      <family val="2"/>
    </font>
    <font>
      <i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181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1" fontId="3" fillId="3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1" fontId="1" fillId="4" borderId="0" xfId="0" applyNumberFormat="1" applyFont="1" applyFill="1" applyAlignment="1" applyProtection="1">
      <alignment horizontal="center" vertical="center"/>
      <protection locked="0"/>
    </xf>
    <xf numFmtId="181" fontId="4" fillId="5" borderId="0" xfId="0" applyNumberFormat="1" applyFont="1" applyFill="1" applyAlignment="1" applyProtection="1">
      <alignment horizontal="center" vertical="center"/>
      <protection/>
    </xf>
    <xf numFmtId="1" fontId="4" fillId="5" borderId="0" xfId="0" applyNumberFormat="1" applyFont="1" applyFill="1" applyAlignment="1" applyProtection="1">
      <alignment horizontal="center" vertical="center"/>
      <protection/>
    </xf>
    <xf numFmtId="0" fontId="2" fillId="6" borderId="0" xfId="0" applyFont="1" applyFill="1" applyAlignment="1" applyProtection="1">
      <alignment horizontal="left" vertical="center"/>
      <protection/>
    </xf>
    <xf numFmtId="0" fontId="1" fillId="6" borderId="0" xfId="0" applyFont="1" applyFill="1" applyAlignment="1" applyProtection="1">
      <alignment horizontal="center" vertical="center"/>
      <protection/>
    </xf>
    <xf numFmtId="2" fontId="1" fillId="6" borderId="0" xfId="0" applyNumberFormat="1" applyFont="1" applyFill="1" applyAlignment="1" applyProtection="1">
      <alignment horizontal="center" vertical="center"/>
      <protection/>
    </xf>
    <xf numFmtId="0" fontId="1" fillId="6" borderId="1" xfId="0" applyFont="1" applyFill="1" applyBorder="1" applyAlignment="1" applyProtection="1">
      <alignment horizontal="center" vertical="center"/>
      <protection/>
    </xf>
    <xf numFmtId="0" fontId="1" fillId="6" borderId="2" xfId="0" applyFont="1" applyFill="1" applyBorder="1" applyAlignment="1" applyProtection="1">
      <alignment horizontal="center" vertical="center"/>
      <protection/>
    </xf>
    <xf numFmtId="0" fontId="1" fillId="6" borderId="3" xfId="0" applyFont="1" applyFill="1" applyBorder="1" applyAlignment="1" applyProtection="1">
      <alignment horizontal="center" vertical="center"/>
      <protection/>
    </xf>
    <xf numFmtId="0" fontId="1" fillId="6" borderId="0" xfId="0" applyFont="1" applyFill="1" applyAlignment="1" applyProtection="1">
      <alignment horizontal="right" vertical="center"/>
      <protection/>
    </xf>
    <xf numFmtId="1" fontId="1" fillId="6" borderId="0" xfId="0" applyNumberFormat="1" applyFont="1" applyFill="1" applyAlignment="1" applyProtection="1">
      <alignment horizontal="center" vertical="center"/>
      <protection/>
    </xf>
    <xf numFmtId="181" fontId="1" fillId="6" borderId="0" xfId="0" applyNumberFormat="1" applyFont="1" applyFill="1" applyAlignment="1" applyProtection="1">
      <alignment horizontal="center" vertical="center"/>
      <protection/>
    </xf>
    <xf numFmtId="2" fontId="4" fillId="6" borderId="1" xfId="0" applyNumberFormat="1" applyFont="1" applyFill="1" applyBorder="1" applyAlignment="1" applyProtection="1">
      <alignment horizontal="center" vertical="center"/>
      <protection/>
    </xf>
    <xf numFmtId="2" fontId="1" fillId="6" borderId="2" xfId="0" applyNumberFormat="1" applyFont="1" applyFill="1" applyBorder="1" applyAlignment="1" applyProtection="1">
      <alignment horizontal="center" vertical="center"/>
      <protection/>
    </xf>
    <xf numFmtId="2" fontId="1" fillId="6" borderId="3" xfId="0" applyNumberFormat="1" applyFont="1" applyFill="1" applyBorder="1" applyAlignment="1" applyProtection="1">
      <alignment horizontal="center" vertical="center"/>
      <protection/>
    </xf>
    <xf numFmtId="0" fontId="1" fillId="6" borderId="4" xfId="0" applyFont="1" applyFill="1" applyBorder="1" applyAlignment="1" applyProtection="1">
      <alignment horizontal="center" vertical="center"/>
      <protection/>
    </xf>
    <xf numFmtId="0" fontId="1" fillId="6" borderId="5" xfId="0" applyFont="1" applyFill="1" applyBorder="1" applyAlignment="1" applyProtection="1">
      <alignment horizontal="right" vertical="center"/>
      <protection/>
    </xf>
    <xf numFmtId="1" fontId="4" fillId="6" borderId="0" xfId="0" applyNumberFormat="1" applyFont="1" applyFill="1" applyAlignment="1" applyProtection="1">
      <alignment horizontal="center" vertical="center"/>
      <protection/>
    </xf>
    <xf numFmtId="181" fontId="4" fillId="6" borderId="0" xfId="0" applyNumberFormat="1" applyFont="1" applyFill="1" applyAlignment="1" applyProtection="1">
      <alignment horizontal="center" vertical="center"/>
      <protection/>
    </xf>
    <xf numFmtId="2" fontId="4" fillId="6" borderId="0" xfId="0" applyNumberFormat="1" applyFont="1" applyFill="1" applyAlignment="1" applyProtection="1">
      <alignment horizontal="center" vertical="center"/>
      <protection/>
    </xf>
    <xf numFmtId="1" fontId="1" fillId="6" borderId="6" xfId="0" applyNumberFormat="1" applyFont="1" applyFill="1" applyBorder="1" applyAlignment="1" applyProtection="1">
      <alignment horizontal="center" vertical="center"/>
      <protection/>
    </xf>
    <xf numFmtId="0" fontId="1" fillId="6" borderId="6" xfId="0" applyFont="1" applyFill="1" applyBorder="1" applyAlignment="1" applyProtection="1">
      <alignment horizontal="center" vertical="center"/>
      <protection/>
    </xf>
    <xf numFmtId="0" fontId="1" fillId="6" borderId="0" xfId="0" applyFont="1" applyFill="1" applyAlignment="1" applyProtection="1">
      <alignment vertical="center"/>
      <protection/>
    </xf>
    <xf numFmtId="0" fontId="1" fillId="6" borderId="0" xfId="0" applyFont="1" applyFill="1" applyBorder="1" applyAlignment="1" applyProtection="1">
      <alignment horizontal="center" vertical="center"/>
      <protection/>
    </xf>
    <xf numFmtId="2" fontId="4" fillId="6" borderId="2" xfId="0" applyNumberFormat="1" applyFont="1" applyFill="1" applyBorder="1" applyAlignment="1" applyProtection="1">
      <alignment horizontal="center" vertical="center"/>
      <protection/>
    </xf>
    <xf numFmtId="0" fontId="1" fillId="6" borderId="4" xfId="0" applyFont="1" applyFill="1" applyBorder="1" applyAlignment="1" applyProtection="1">
      <alignment horizontal="right" vertical="center"/>
      <protection/>
    </xf>
    <xf numFmtId="0" fontId="1" fillId="6" borderId="5" xfId="0" applyFont="1" applyFill="1" applyBorder="1" applyAlignment="1" applyProtection="1">
      <alignment horizontal="center" vertical="center"/>
      <protection/>
    </xf>
    <xf numFmtId="0" fontId="1" fillId="6" borderId="2" xfId="0" applyFont="1" applyFill="1" applyBorder="1" applyAlignment="1" applyProtection="1">
      <alignment vertical="center"/>
      <protection/>
    </xf>
    <xf numFmtId="181" fontId="1" fillId="6" borderId="2" xfId="0" applyNumberFormat="1" applyFont="1" applyFill="1" applyBorder="1" applyAlignment="1" applyProtection="1">
      <alignment horizontal="center" vertical="center"/>
      <protection/>
    </xf>
    <xf numFmtId="180" fontId="1" fillId="6" borderId="4" xfId="0" applyNumberFormat="1" applyFont="1" applyFill="1" applyBorder="1" applyAlignment="1" applyProtection="1">
      <alignment horizontal="center" vertical="center"/>
      <protection/>
    </xf>
    <xf numFmtId="181" fontId="3" fillId="6" borderId="0" xfId="0" applyNumberFormat="1" applyFont="1" applyFill="1" applyAlignment="1" applyProtection="1">
      <alignment horizontal="right" vertical="center"/>
      <protection/>
    </xf>
    <xf numFmtId="2" fontId="3" fillId="6" borderId="0" xfId="0" applyNumberFormat="1" applyFont="1" applyFill="1" applyAlignment="1" applyProtection="1">
      <alignment horizontal="right" vertical="center"/>
      <protection/>
    </xf>
    <xf numFmtId="180" fontId="1" fillId="6" borderId="0" xfId="0" applyNumberFormat="1" applyFont="1" applyFill="1" applyAlignment="1" applyProtection="1">
      <alignment horizontal="right" vertical="center"/>
      <protection/>
    </xf>
    <xf numFmtId="1" fontId="1" fillId="6" borderId="0" xfId="0" applyNumberFormat="1" applyFont="1" applyFill="1" applyAlignment="1" applyProtection="1">
      <alignment horizontal="right" vertical="center"/>
      <protection/>
    </xf>
    <xf numFmtId="0" fontId="3" fillId="6" borderId="0" xfId="0" applyFont="1" applyFill="1" applyAlignment="1" applyProtection="1">
      <alignment horizontal="center" vertical="center"/>
      <protection/>
    </xf>
    <xf numFmtId="0" fontId="3" fillId="6" borderId="0" xfId="0" applyFont="1" applyFill="1" applyAlignment="1" applyProtection="1">
      <alignment horizontal="left" vertical="center"/>
      <protection/>
    </xf>
    <xf numFmtId="0" fontId="3" fillId="6" borderId="0" xfId="0" applyFont="1" applyFill="1" applyAlignment="1" applyProtection="1">
      <alignment vertical="center"/>
      <protection/>
    </xf>
    <xf numFmtId="0" fontId="3" fillId="6" borderId="0" xfId="0" applyFont="1" applyFill="1" applyAlignment="1" applyProtection="1">
      <alignment horizontal="right" vertical="center"/>
      <protection/>
    </xf>
    <xf numFmtId="0" fontId="4" fillId="6" borderId="0" xfId="0" applyFont="1" applyFill="1" applyAlignment="1" applyProtection="1">
      <alignment vertical="center"/>
      <protection/>
    </xf>
    <xf numFmtId="180" fontId="1" fillId="6" borderId="0" xfId="0" applyNumberFormat="1" applyFont="1" applyFill="1" applyAlignment="1" applyProtection="1">
      <alignment horizontal="center" vertical="center"/>
      <protection/>
    </xf>
    <xf numFmtId="2" fontId="1" fillId="6" borderId="6" xfId="0" applyNumberFormat="1" applyFont="1" applyFill="1" applyBorder="1" applyAlignment="1" applyProtection="1">
      <alignment horizontal="center" vertical="center"/>
      <protection/>
    </xf>
    <xf numFmtId="0" fontId="3" fillId="6" borderId="6" xfId="0" applyFont="1" applyFill="1" applyBorder="1" applyAlignment="1" applyProtection="1">
      <alignment horizontal="center" vertical="center"/>
      <protection/>
    </xf>
    <xf numFmtId="0" fontId="1" fillId="6" borderId="6" xfId="0" applyFont="1" applyFill="1" applyBorder="1" applyAlignment="1" applyProtection="1">
      <alignment vertical="center"/>
      <protection/>
    </xf>
    <xf numFmtId="0" fontId="2" fillId="6" borderId="0" xfId="0" applyFont="1" applyFill="1" applyAlignment="1" applyProtection="1">
      <alignment vertical="center"/>
      <protection/>
    </xf>
    <xf numFmtId="0" fontId="1" fillId="6" borderId="2" xfId="0" applyFont="1" applyFill="1" applyBorder="1" applyAlignment="1" applyProtection="1">
      <alignment horizontal="right" vertical="center"/>
      <protection/>
    </xf>
    <xf numFmtId="49" fontId="1" fillId="6" borderId="0" xfId="0" applyNumberFormat="1" applyFont="1" applyFill="1" applyAlignment="1" applyProtection="1">
      <alignment horizontal="right" vertical="center"/>
      <protection/>
    </xf>
    <xf numFmtId="181" fontId="1" fillId="6" borderId="4" xfId="0" applyNumberFormat="1" applyFont="1" applyFill="1" applyBorder="1" applyAlignment="1" applyProtection="1">
      <alignment horizontal="center" vertical="center"/>
      <protection/>
    </xf>
    <xf numFmtId="2" fontId="5" fillId="6" borderId="0" xfId="0" applyNumberFormat="1" applyFont="1" applyFill="1" applyAlignment="1" applyProtection="1">
      <alignment horizontal="right" vertical="center"/>
      <protection/>
    </xf>
    <xf numFmtId="1" fontId="2" fillId="6" borderId="0" xfId="0" applyNumberFormat="1" applyFont="1" applyFill="1" applyAlignment="1" applyProtection="1">
      <alignment horizontal="left" vertical="center"/>
      <protection/>
    </xf>
    <xf numFmtId="1" fontId="1" fillId="6" borderId="0" xfId="0" applyNumberFormat="1" applyFont="1" applyFill="1" applyBorder="1" applyAlignment="1" applyProtection="1">
      <alignment horizontal="center" vertical="center"/>
      <protection/>
    </xf>
    <xf numFmtId="0" fontId="18" fillId="6" borderId="0" xfId="0" applyFont="1" applyFill="1" applyAlignment="1" applyProtection="1">
      <alignment horizontal="center" vertical="center"/>
      <protection/>
    </xf>
    <xf numFmtId="181" fontId="1" fillId="6" borderId="0" xfId="0" applyNumberFormat="1" applyFont="1" applyFill="1" applyAlignment="1" applyProtection="1">
      <alignment horizontal="center" vertical="center"/>
      <protection locked="0"/>
    </xf>
    <xf numFmtId="0" fontId="16" fillId="6" borderId="0" xfId="0" applyFont="1" applyFill="1" applyAlignment="1" applyProtection="1">
      <alignment horizontal="left"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4" fillId="6" borderId="0" xfId="0" applyFont="1" applyFill="1" applyAlignment="1" applyProtection="1">
      <alignment horizontal="right" vertical="center"/>
      <protection/>
    </xf>
    <xf numFmtId="181" fontId="1" fillId="6" borderId="6" xfId="0" applyNumberFormat="1" applyFont="1" applyFill="1" applyBorder="1" applyAlignment="1" applyProtection="1">
      <alignment horizontal="center" vertical="center"/>
      <protection/>
    </xf>
    <xf numFmtId="0" fontId="1" fillId="6" borderId="0" xfId="0" applyFont="1" applyFill="1" applyBorder="1" applyAlignment="1" applyProtection="1">
      <alignment vertical="center"/>
      <protection/>
    </xf>
    <xf numFmtId="0" fontId="13" fillId="6" borderId="0" xfId="0" applyFont="1" applyFill="1" applyAlignment="1" applyProtection="1">
      <alignment horizontal="center" vertical="center"/>
      <protection/>
    </xf>
    <xf numFmtId="0" fontId="7" fillId="6" borderId="0" xfId="0" applyFont="1" applyFill="1" applyAlignment="1" applyProtection="1">
      <alignment vertical="center"/>
      <protection/>
    </xf>
    <xf numFmtId="180" fontId="1" fillId="6" borderId="6" xfId="0" applyNumberFormat="1" applyFont="1" applyFill="1" applyBorder="1" applyAlignment="1" applyProtection="1">
      <alignment horizontal="center" vertical="center"/>
      <protection/>
    </xf>
    <xf numFmtId="2" fontId="1" fillId="6" borderId="0" xfId="0" applyNumberFormat="1" applyFont="1" applyFill="1" applyAlignment="1" applyProtection="1">
      <alignment vertical="center"/>
      <protection/>
    </xf>
    <xf numFmtId="2" fontId="1" fillId="6" borderId="0" xfId="0" applyNumberFormat="1" applyFont="1" applyFill="1" applyBorder="1" applyAlignment="1" applyProtection="1">
      <alignment horizontal="left" vertical="center"/>
      <protection/>
    </xf>
    <xf numFmtId="0" fontId="3" fillId="6" borderId="0" xfId="0" applyFont="1" applyFill="1" applyAlignment="1" applyProtection="1">
      <alignment horizontal="center" vertical="center"/>
      <protection locked="0"/>
    </xf>
    <xf numFmtId="181" fontId="1" fillId="6" borderId="0" xfId="0" applyNumberFormat="1" applyFont="1" applyFill="1" applyBorder="1" applyAlignment="1" applyProtection="1">
      <alignment horizontal="center" vertical="center"/>
      <protection/>
    </xf>
    <xf numFmtId="181" fontId="4" fillId="6" borderId="6" xfId="0" applyNumberFormat="1" applyFont="1" applyFill="1" applyBorder="1" applyAlignment="1" applyProtection="1">
      <alignment horizontal="center" vertical="center"/>
      <protection/>
    </xf>
    <xf numFmtId="0" fontId="1" fillId="6" borderId="6" xfId="0" applyFont="1" applyFill="1" applyBorder="1" applyAlignment="1" applyProtection="1">
      <alignment horizontal="left" vertical="center"/>
      <protection/>
    </xf>
    <xf numFmtId="2" fontId="1" fillId="6" borderId="1" xfId="0" applyNumberFormat="1" applyFont="1" applyFill="1" applyBorder="1" applyAlignment="1" applyProtection="1">
      <alignment horizontal="center" vertical="center"/>
      <protection/>
    </xf>
    <xf numFmtId="0" fontId="1" fillId="6" borderId="1" xfId="0" applyFont="1" applyFill="1" applyBorder="1" applyAlignment="1" applyProtection="1">
      <alignment horizontal="right" vertical="center"/>
      <protection/>
    </xf>
    <xf numFmtId="0" fontId="1" fillId="6" borderId="7" xfId="0" applyFont="1" applyFill="1" applyBorder="1" applyAlignment="1" applyProtection="1">
      <alignment horizontal="center" vertical="center"/>
      <protection/>
    </xf>
    <xf numFmtId="0" fontId="1" fillId="6" borderId="8" xfId="0" applyFont="1" applyFill="1" applyBorder="1" applyAlignment="1" applyProtection="1">
      <alignment horizontal="right" vertical="center"/>
      <protection/>
    </xf>
    <xf numFmtId="181" fontId="2" fillId="5" borderId="0" xfId="0" applyNumberFormat="1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" fillId="5" borderId="0" xfId="0" applyFont="1" applyFill="1" applyBorder="1" applyAlignment="1" applyProtection="1">
      <alignment horizontal="center" vertical="center"/>
      <protection/>
    </xf>
    <xf numFmtId="1" fontId="2" fillId="5" borderId="0" xfId="0" applyNumberFormat="1" applyFont="1" applyFill="1" applyBorder="1" applyAlignment="1" applyProtection="1">
      <alignment horizontal="center" vertical="center"/>
      <protection/>
    </xf>
    <xf numFmtId="0" fontId="2" fillId="6" borderId="6" xfId="0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 applyProtection="1">
      <alignment horizontal="right" vertical="center"/>
      <protection/>
    </xf>
    <xf numFmtId="180" fontId="1" fillId="6" borderId="5" xfId="0" applyNumberFormat="1" applyFont="1" applyFill="1" applyBorder="1" applyAlignment="1" applyProtection="1">
      <alignment horizontal="center" vertical="center"/>
      <protection/>
    </xf>
    <xf numFmtId="2" fontId="1" fillId="4" borderId="0" xfId="0" applyNumberFormat="1" applyFont="1" applyFill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horizontal="right" vertical="center"/>
      <protection/>
    </xf>
    <xf numFmtId="181" fontId="1" fillId="5" borderId="0" xfId="0" applyNumberFormat="1" applyFont="1" applyFill="1" applyAlignment="1" applyProtection="1">
      <alignment horizontal="center" vertical="center"/>
      <protection/>
    </xf>
    <xf numFmtId="181" fontId="1" fillId="4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right" vertical="center"/>
      <protection/>
    </xf>
    <xf numFmtId="2" fontId="4" fillId="5" borderId="2" xfId="0" applyNumberFormat="1" applyFont="1" applyFill="1" applyBorder="1" applyAlignment="1" applyProtection="1">
      <alignment horizontal="center" vertical="center"/>
      <protection/>
    </xf>
    <xf numFmtId="181" fontId="1" fillId="5" borderId="3" xfId="0" applyNumberFormat="1" applyFont="1" applyFill="1" applyBorder="1" applyAlignment="1" applyProtection="1">
      <alignment horizontal="center" vertical="center"/>
      <protection/>
    </xf>
    <xf numFmtId="181" fontId="1" fillId="5" borderId="2" xfId="0" applyNumberFormat="1" applyFont="1" applyFill="1" applyBorder="1" applyAlignment="1" applyProtection="1">
      <alignment horizontal="center" vertical="center"/>
      <protection/>
    </xf>
    <xf numFmtId="2" fontId="4" fillId="4" borderId="2" xfId="0" applyNumberFormat="1" applyFont="1" applyFill="1" applyBorder="1" applyAlignment="1" applyProtection="1">
      <alignment horizontal="center" vertical="center"/>
      <protection locked="0"/>
    </xf>
    <xf numFmtId="181" fontId="1" fillId="4" borderId="0" xfId="0" applyNumberFormat="1" applyFont="1" applyFill="1" applyAlignment="1" applyProtection="1">
      <alignment horizontal="center" vertical="center"/>
      <protection locked="0"/>
    </xf>
    <xf numFmtId="2" fontId="1" fillId="5" borderId="0" xfId="0" applyNumberFormat="1" applyFont="1" applyFill="1" applyAlignment="1" applyProtection="1">
      <alignment horizontal="center" vertical="center"/>
      <protection/>
    </xf>
    <xf numFmtId="180" fontId="1" fillId="6" borderId="0" xfId="0" applyNumberFormat="1" applyFont="1" applyFill="1" applyBorder="1" applyAlignment="1" applyProtection="1">
      <alignment horizontal="center" vertical="center"/>
      <protection/>
    </xf>
    <xf numFmtId="1" fontId="1" fillId="5" borderId="0" xfId="0" applyNumberFormat="1" applyFont="1" applyFill="1" applyBorder="1" applyAlignment="1" applyProtection="1">
      <alignment horizontal="center" vertical="center"/>
      <protection/>
    </xf>
    <xf numFmtId="0" fontId="15" fillId="6" borderId="0" xfId="0" applyFont="1" applyFill="1" applyBorder="1" applyAlignment="1" applyProtection="1">
      <alignment horizontal="right" vertical="center"/>
      <protection/>
    </xf>
    <xf numFmtId="1" fontId="4" fillId="6" borderId="0" xfId="0" applyNumberFormat="1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" fillId="5" borderId="1" xfId="0" applyFont="1" applyFill="1" applyBorder="1" applyAlignment="1" applyProtection="1">
      <alignment horizontal="right" vertical="center"/>
      <protection/>
    </xf>
    <xf numFmtId="2" fontId="4" fillId="5" borderId="0" xfId="0" applyNumberFormat="1" applyFont="1" applyFill="1" applyAlignment="1" applyProtection="1">
      <alignment horizontal="center" vertical="center"/>
      <protection/>
    </xf>
    <xf numFmtId="1" fontId="1" fillId="6" borderId="1" xfId="0" applyNumberFormat="1" applyFont="1" applyFill="1" applyBorder="1" applyAlignment="1" applyProtection="1">
      <alignment horizontal="center" vertical="center"/>
      <protection/>
    </xf>
    <xf numFmtId="1" fontId="1" fillId="6" borderId="7" xfId="0" applyNumberFormat="1" applyFont="1" applyFill="1" applyBorder="1" applyAlignment="1" applyProtection="1">
      <alignment horizontal="center" vertical="center"/>
      <protection/>
    </xf>
    <xf numFmtId="1" fontId="4" fillId="6" borderId="6" xfId="0" applyNumberFormat="1" applyFont="1" applyFill="1" applyBorder="1" applyAlignment="1" applyProtection="1">
      <alignment horizontal="center" vertical="center"/>
      <protection/>
    </xf>
    <xf numFmtId="18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181" fontId="4" fillId="6" borderId="1" xfId="0" applyNumberFormat="1" applyFont="1" applyFill="1" applyBorder="1" applyAlignment="1" applyProtection="1">
      <alignment horizontal="center" vertical="center"/>
      <protection/>
    </xf>
    <xf numFmtId="181" fontId="4" fillId="5" borderId="0" xfId="0" applyNumberFormat="1" applyFont="1" applyFill="1" applyAlignment="1" applyProtection="1">
      <alignment horizontal="center" vertical="center"/>
      <protection locked="0"/>
    </xf>
    <xf numFmtId="181" fontId="4" fillId="5" borderId="6" xfId="0" applyNumberFormat="1" applyFont="1" applyFill="1" applyBorder="1" applyAlignment="1" applyProtection="1">
      <alignment horizontal="center" vertical="center"/>
      <protection/>
    </xf>
    <xf numFmtId="1" fontId="1" fillId="5" borderId="6" xfId="0" applyNumberFormat="1" applyFont="1" applyFill="1" applyBorder="1" applyAlignment="1" applyProtection="1">
      <alignment horizontal="center" vertical="center"/>
      <protection/>
    </xf>
    <xf numFmtId="181" fontId="1" fillId="6" borderId="1" xfId="0" applyNumberFormat="1" applyFont="1" applyFill="1" applyBorder="1" applyAlignment="1" applyProtection="1">
      <alignment horizontal="center" vertical="center"/>
      <protection/>
    </xf>
    <xf numFmtId="0" fontId="1" fillId="6" borderId="9" xfId="0" applyFont="1" applyFill="1" applyBorder="1" applyAlignment="1" applyProtection="1">
      <alignment horizontal="center" vertical="center"/>
      <protection/>
    </xf>
    <xf numFmtId="180" fontId="1" fillId="6" borderId="6" xfId="0" applyNumberFormat="1" applyFont="1" applyFill="1" applyBorder="1" applyAlignment="1" applyProtection="1">
      <alignment horizontal="right" vertical="center"/>
      <protection/>
    </xf>
    <xf numFmtId="0" fontId="3" fillId="6" borderId="0" xfId="0" applyFont="1" applyFill="1" applyBorder="1" applyAlignment="1" applyProtection="1">
      <alignment vertical="center"/>
      <protection/>
    </xf>
    <xf numFmtId="181" fontId="1" fillId="7" borderId="0" xfId="0" applyNumberFormat="1" applyFont="1" applyFill="1" applyAlignment="1" applyProtection="1">
      <alignment horizontal="center" vertical="center"/>
      <protection/>
    </xf>
    <xf numFmtId="2" fontId="4" fillId="6" borderId="6" xfId="0" applyNumberFormat="1" applyFont="1" applyFill="1" applyBorder="1" applyAlignment="1" applyProtection="1">
      <alignment horizontal="center" vertical="center"/>
      <protection/>
    </xf>
    <xf numFmtId="2" fontId="1" fillId="6" borderId="0" xfId="0" applyNumberFormat="1" applyFont="1" applyFill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vertical="center"/>
      <protection/>
    </xf>
    <xf numFmtId="2" fontId="5" fillId="6" borderId="10" xfId="0" applyNumberFormat="1" applyFont="1" applyFill="1" applyBorder="1" applyAlignment="1" applyProtection="1">
      <alignment horizontal="right" vertical="center"/>
      <protection/>
    </xf>
    <xf numFmtId="181" fontId="1" fillId="6" borderId="9" xfId="0" applyNumberFormat="1" applyFont="1" applyFill="1" applyBorder="1" applyAlignment="1" applyProtection="1">
      <alignment horizontal="center" vertical="center"/>
      <protection/>
    </xf>
    <xf numFmtId="181" fontId="1" fillId="6" borderId="5" xfId="0" applyNumberFormat="1" applyFont="1" applyFill="1" applyBorder="1" applyAlignment="1" applyProtection="1">
      <alignment horizontal="center" vertical="center"/>
      <protection/>
    </xf>
    <xf numFmtId="2" fontId="1" fillId="6" borderId="8" xfId="0" applyNumberFormat="1" applyFont="1" applyFill="1" applyBorder="1" applyAlignment="1" applyProtection="1">
      <alignment horizontal="center" vertical="center"/>
      <protection/>
    </xf>
    <xf numFmtId="2" fontId="4" fillId="6" borderId="0" xfId="0" applyNumberFormat="1" applyFont="1" applyFill="1" applyBorder="1" applyAlignment="1" applyProtection="1">
      <alignment horizontal="center" vertical="center"/>
      <protection/>
    </xf>
    <xf numFmtId="0" fontId="2" fillId="6" borderId="6" xfId="0" applyFont="1" applyFill="1" applyBorder="1" applyAlignment="1" applyProtection="1">
      <alignment horizontal="left" vertical="center"/>
      <protection/>
    </xf>
    <xf numFmtId="2" fontId="4" fillId="5" borderId="1" xfId="0" applyNumberFormat="1" applyFont="1" applyFill="1" applyBorder="1" applyAlignment="1" applyProtection="1">
      <alignment horizontal="center" vertical="center"/>
      <protection/>
    </xf>
    <xf numFmtId="1" fontId="1" fillId="6" borderId="4" xfId="0" applyNumberFormat="1" applyFont="1" applyFill="1" applyBorder="1" applyAlignment="1" applyProtection="1">
      <alignment horizontal="center" vertical="center"/>
      <protection/>
    </xf>
    <xf numFmtId="181" fontId="4" fillId="6" borderId="0" xfId="0" applyNumberFormat="1" applyFont="1" applyFill="1" applyBorder="1" applyAlignment="1" applyProtection="1">
      <alignment horizontal="center" vertical="center"/>
      <protection/>
    </xf>
    <xf numFmtId="1" fontId="1" fillId="6" borderId="0" xfId="0" applyNumberFormat="1" applyFont="1" applyFill="1" applyBorder="1" applyAlignment="1" applyProtection="1">
      <alignment horizontal="right" vertical="center"/>
      <protection/>
    </xf>
    <xf numFmtId="0" fontId="1" fillId="8" borderId="0" xfId="0" applyFont="1" applyFill="1" applyAlignment="1" applyProtection="1">
      <alignment horizontal="center" vertical="center"/>
      <protection/>
    </xf>
    <xf numFmtId="0" fontId="2" fillId="8" borderId="0" xfId="0" applyFont="1" applyFill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2" fillId="8" borderId="6" xfId="0" applyFont="1" applyFill="1" applyBorder="1" applyAlignment="1" applyProtection="1">
      <alignment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9" fillId="6" borderId="0" xfId="0" applyFont="1" applyFill="1" applyBorder="1" applyAlignment="1" applyProtection="1">
      <alignment horizontal="left" vertical="center"/>
      <protection/>
    </xf>
    <xf numFmtId="181" fontId="4" fillId="6" borderId="2" xfId="0" applyNumberFormat="1" applyFont="1" applyFill="1" applyBorder="1" applyAlignment="1" applyProtection="1">
      <alignment horizontal="center" vertical="center"/>
      <protection/>
    </xf>
    <xf numFmtId="0" fontId="2" fillId="8" borderId="6" xfId="0" applyFont="1" applyFill="1" applyBorder="1" applyAlignment="1" applyProtection="1">
      <alignment horizontal="left" vertical="center"/>
      <protection/>
    </xf>
    <xf numFmtId="2" fontId="5" fillId="8" borderId="6" xfId="0" applyNumberFormat="1" applyFont="1" applyFill="1" applyBorder="1" applyAlignment="1" applyProtection="1">
      <alignment horizontal="center" vertical="center"/>
      <protection/>
    </xf>
    <xf numFmtId="2" fontId="1" fillId="8" borderId="6" xfId="0" applyNumberFormat="1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vertical="center"/>
      <protection/>
    </xf>
    <xf numFmtId="0" fontId="1" fillId="8" borderId="0" xfId="0" applyFont="1" applyFill="1" applyAlignment="1" applyProtection="1">
      <alignment vertical="center"/>
      <protection/>
    </xf>
    <xf numFmtId="181" fontId="1" fillId="4" borderId="9" xfId="0" applyNumberFormat="1" applyFont="1" applyFill="1" applyBorder="1" applyAlignment="1" applyProtection="1">
      <alignment horizontal="center" vertical="center"/>
      <protection locked="0"/>
    </xf>
    <xf numFmtId="180" fontId="1" fillId="8" borderId="6" xfId="0" applyNumberFormat="1" applyFont="1" applyFill="1" applyBorder="1" applyAlignment="1" applyProtection="1">
      <alignment horizontal="center" vertical="center"/>
      <protection/>
    </xf>
    <xf numFmtId="0" fontId="1" fillId="6" borderId="11" xfId="0" applyFont="1" applyFill="1" applyBorder="1" applyAlignment="1" applyProtection="1">
      <alignment horizontal="center" vertical="center"/>
      <protection/>
    </xf>
    <xf numFmtId="180" fontId="4" fillId="6" borderId="11" xfId="0" applyNumberFormat="1" applyFont="1" applyFill="1" applyBorder="1" applyAlignment="1" applyProtection="1">
      <alignment horizontal="center" vertical="center"/>
      <protection/>
    </xf>
    <xf numFmtId="0" fontId="3" fillId="6" borderId="7" xfId="0" applyFont="1" applyFill="1" applyBorder="1" applyAlignment="1" applyProtection="1">
      <alignment horizontal="center" vertical="center"/>
      <protection/>
    </xf>
    <xf numFmtId="0" fontId="7" fillId="6" borderId="1" xfId="0" applyFont="1" applyFill="1" applyBorder="1" applyAlignment="1" applyProtection="1">
      <alignment horizontal="left" vertical="center"/>
      <protection/>
    </xf>
    <xf numFmtId="0" fontId="7" fillId="6" borderId="1" xfId="0" applyFont="1" applyFill="1" applyBorder="1" applyAlignment="1" applyProtection="1">
      <alignment vertical="center"/>
      <protection/>
    </xf>
    <xf numFmtId="0" fontId="3" fillId="6" borderId="1" xfId="0" applyFont="1" applyFill="1" applyBorder="1" applyAlignment="1" applyProtection="1">
      <alignment horizontal="center" vertical="center"/>
      <protection/>
    </xf>
    <xf numFmtId="0" fontId="1" fillId="6" borderId="1" xfId="0" applyFont="1" applyFill="1" applyBorder="1" applyAlignment="1" applyProtection="1">
      <alignment vertical="center"/>
      <protection/>
    </xf>
    <xf numFmtId="0" fontId="3" fillId="6" borderId="1" xfId="0" applyFont="1" applyFill="1" applyBorder="1" applyAlignment="1" applyProtection="1">
      <alignment vertical="center"/>
      <protection/>
    </xf>
    <xf numFmtId="2" fontId="1" fillId="8" borderId="0" xfId="0" applyNumberFormat="1" applyFont="1" applyFill="1" applyAlignment="1" applyProtection="1">
      <alignment horizontal="center" vertical="center"/>
      <protection/>
    </xf>
    <xf numFmtId="1" fontId="1" fillId="6" borderId="2" xfId="0" applyNumberFormat="1" applyFont="1" applyFill="1" applyBorder="1" applyAlignment="1" applyProtection="1">
      <alignment horizontal="right" vertical="center"/>
      <protection/>
    </xf>
    <xf numFmtId="0" fontId="1" fillId="6" borderId="12" xfId="0" applyFont="1" applyFill="1" applyBorder="1" applyAlignment="1" applyProtection="1">
      <alignment horizontal="right" vertical="center"/>
      <protection/>
    </xf>
    <xf numFmtId="1" fontId="1" fillId="6" borderId="6" xfId="0" applyNumberFormat="1" applyFont="1" applyFill="1" applyBorder="1" applyAlignment="1" applyProtection="1">
      <alignment horizontal="right" vertical="center"/>
      <protection/>
    </xf>
    <xf numFmtId="1" fontId="1" fillId="6" borderId="4" xfId="0" applyNumberFormat="1" applyFont="1" applyFill="1" applyBorder="1" applyAlignment="1" applyProtection="1">
      <alignment horizontal="right" vertical="center"/>
      <protection/>
    </xf>
    <xf numFmtId="0" fontId="1" fillId="8" borderId="1" xfId="0" applyFont="1" applyFill="1" applyBorder="1" applyAlignment="1" applyProtection="1">
      <alignment vertical="center"/>
      <protection/>
    </xf>
    <xf numFmtId="1" fontId="1" fillId="8" borderId="0" xfId="0" applyNumberFormat="1" applyFont="1" applyFill="1" applyAlignment="1" applyProtection="1">
      <alignment horizontal="center" vertical="center"/>
      <protection/>
    </xf>
    <xf numFmtId="180" fontId="3" fillId="8" borderId="0" xfId="0" applyNumberFormat="1" applyFont="1" applyFill="1" applyAlignment="1" applyProtection="1">
      <alignment horizontal="right" vertical="center"/>
      <protection/>
    </xf>
    <xf numFmtId="0" fontId="1" fillId="5" borderId="4" xfId="0" applyFont="1" applyFill="1" applyBorder="1" applyAlignment="1" applyProtection="1">
      <alignment horizontal="center" vertical="center"/>
      <protection/>
    </xf>
    <xf numFmtId="2" fontId="5" fillId="6" borderId="5" xfId="0" applyNumberFormat="1" applyFont="1" applyFill="1" applyBorder="1" applyAlignment="1" applyProtection="1">
      <alignment horizontal="right" vertical="center"/>
      <protection/>
    </xf>
    <xf numFmtId="181" fontId="1" fillId="6" borderId="7" xfId="0" applyNumberFormat="1" applyFont="1" applyFill="1" applyBorder="1" applyAlignment="1" applyProtection="1">
      <alignment horizontal="center" vertical="center"/>
      <protection/>
    </xf>
    <xf numFmtId="0" fontId="1" fillId="6" borderId="0" xfId="0" applyFont="1" applyFill="1" applyBorder="1" applyAlignment="1" applyProtection="1">
      <alignment horizontal="right" vertical="center"/>
      <protection/>
    </xf>
    <xf numFmtId="0" fontId="16" fillId="6" borderId="0" xfId="0" applyFont="1" applyFill="1" applyBorder="1" applyAlignment="1" applyProtection="1">
      <alignment horizontal="left" vertical="center"/>
      <protection/>
    </xf>
    <xf numFmtId="2" fontId="1" fillId="6" borderId="7" xfId="0" applyNumberFormat="1" applyFont="1" applyFill="1" applyBorder="1" applyAlignment="1" applyProtection="1">
      <alignment horizontal="center" vertical="center"/>
      <protection/>
    </xf>
    <xf numFmtId="1" fontId="4" fillId="6" borderId="1" xfId="0" applyNumberFormat="1" applyFont="1" applyFill="1" applyBorder="1" applyAlignment="1" applyProtection="1">
      <alignment horizontal="center" vertical="center"/>
      <protection/>
    </xf>
    <xf numFmtId="1" fontId="2" fillId="5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181" fontId="2" fillId="5" borderId="1" xfId="0" applyNumberFormat="1" applyFont="1" applyFill="1" applyBorder="1" applyAlignment="1" applyProtection="1">
      <alignment horizontal="center" vertical="center"/>
      <protection/>
    </xf>
    <xf numFmtId="180" fontId="1" fillId="8" borderId="7" xfId="0" applyNumberFormat="1" applyFont="1" applyFill="1" applyBorder="1" applyAlignment="1" applyProtection="1">
      <alignment horizontal="center" vertical="center"/>
      <protection/>
    </xf>
    <xf numFmtId="181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4" fillId="6" borderId="6" xfId="0" applyFont="1" applyFill="1" applyBorder="1" applyAlignment="1" applyProtection="1">
      <alignment horizontal="left" vertical="center"/>
      <protection/>
    </xf>
    <xf numFmtId="181" fontId="1" fillId="6" borderId="3" xfId="0" applyNumberFormat="1" applyFont="1" applyFill="1" applyBorder="1" applyAlignment="1" applyProtection="1">
      <alignment horizontal="center" vertical="center"/>
      <protection/>
    </xf>
    <xf numFmtId="0" fontId="2" fillId="6" borderId="7" xfId="0" applyFont="1" applyFill="1" applyBorder="1" applyAlignment="1" applyProtection="1">
      <alignment vertical="center"/>
      <protection/>
    </xf>
    <xf numFmtId="180" fontId="3" fillId="8" borderId="0" xfId="0" applyNumberFormat="1" applyFont="1" applyFill="1" applyBorder="1" applyAlignment="1" applyProtection="1">
      <alignment horizontal="right" vertical="center"/>
      <protection/>
    </xf>
    <xf numFmtId="0" fontId="1" fillId="8" borderId="1" xfId="0" applyFont="1" applyFill="1" applyBorder="1" applyAlignment="1" applyProtection="1">
      <alignment horizontal="center" vertical="center"/>
      <protection/>
    </xf>
    <xf numFmtId="0" fontId="1" fillId="8" borderId="3" xfId="0" applyFont="1" applyFill="1" applyBorder="1" applyAlignment="1" applyProtection="1">
      <alignment horizontal="center" vertical="center"/>
      <protection/>
    </xf>
    <xf numFmtId="181" fontId="1" fillId="6" borderId="13" xfId="0" applyNumberFormat="1" applyFont="1" applyFill="1" applyBorder="1" applyAlignment="1" applyProtection="1">
      <alignment horizontal="center" vertical="center"/>
      <protection/>
    </xf>
    <xf numFmtId="181" fontId="1" fillId="6" borderId="14" xfId="0" applyNumberFormat="1" applyFont="1" applyFill="1" applyBorder="1" applyAlignment="1" applyProtection="1">
      <alignment horizontal="center" vertical="center"/>
      <protection/>
    </xf>
    <xf numFmtId="181" fontId="4" fillId="6" borderId="15" xfId="0" applyNumberFormat="1" applyFont="1" applyFill="1" applyBorder="1" applyAlignment="1" applyProtection="1">
      <alignment horizontal="center" vertical="center"/>
      <protection/>
    </xf>
    <xf numFmtId="0" fontId="1" fillId="6" borderId="13" xfId="0" applyFont="1" applyFill="1" applyBorder="1" applyAlignment="1" applyProtection="1">
      <alignment horizontal="right" vertical="center"/>
      <protection/>
    </xf>
    <xf numFmtId="0" fontId="1" fillId="6" borderId="14" xfId="0" applyFont="1" applyFill="1" applyBorder="1" applyAlignment="1" applyProtection="1">
      <alignment horizontal="right" vertical="center"/>
      <protection/>
    </xf>
    <xf numFmtId="0" fontId="1" fillId="6" borderId="15" xfId="0" applyFont="1" applyFill="1" applyBorder="1" applyAlignment="1" applyProtection="1">
      <alignment horizontal="right" vertical="center"/>
      <protection/>
    </xf>
    <xf numFmtId="0" fontId="3" fillId="6" borderId="6" xfId="0" applyFont="1" applyFill="1" applyBorder="1" applyAlignment="1" applyProtection="1">
      <alignment horizontal="right" vertical="center"/>
      <protection/>
    </xf>
    <xf numFmtId="0" fontId="1" fillId="6" borderId="15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6" borderId="11" xfId="0" applyFont="1" applyFill="1" applyBorder="1" applyAlignment="1" applyProtection="1">
      <alignment vertical="center"/>
      <protection/>
    </xf>
    <xf numFmtId="0" fontId="1" fillId="6" borderId="13" xfId="0" applyFont="1" applyFill="1" applyBorder="1" applyAlignment="1" applyProtection="1">
      <alignment vertical="center"/>
      <protection/>
    </xf>
    <xf numFmtId="1" fontId="1" fillId="5" borderId="7" xfId="0" applyNumberFormat="1" applyFont="1" applyFill="1" applyBorder="1" applyAlignment="1" applyProtection="1">
      <alignment horizontal="center" vertical="center"/>
      <protection/>
    </xf>
    <xf numFmtId="180" fontId="1" fillId="6" borderId="7" xfId="0" applyNumberFormat="1" applyFont="1" applyFill="1" applyBorder="1" applyAlignment="1" applyProtection="1">
      <alignment horizontal="right" vertical="center"/>
      <protection/>
    </xf>
    <xf numFmtId="0" fontId="2" fillId="6" borderId="7" xfId="0" applyFont="1" applyFill="1" applyBorder="1" applyAlignment="1" applyProtection="1">
      <alignment horizontal="left" vertical="center"/>
      <protection/>
    </xf>
    <xf numFmtId="0" fontId="2" fillId="6" borderId="1" xfId="0" applyFont="1" applyFill="1" applyBorder="1" applyAlignment="1" applyProtection="1">
      <alignment vertical="center"/>
      <protection/>
    </xf>
    <xf numFmtId="2" fontId="5" fillId="6" borderId="3" xfId="0" applyNumberFormat="1" applyFont="1" applyFill="1" applyBorder="1" applyAlignment="1" applyProtection="1">
      <alignment horizontal="center" vertical="center"/>
      <protection/>
    </xf>
    <xf numFmtId="2" fontId="5" fillId="6" borderId="2" xfId="0" applyNumberFormat="1" applyFont="1" applyFill="1" applyBorder="1" applyAlignment="1" applyProtection="1">
      <alignment horizontal="center" vertical="center"/>
      <protection/>
    </xf>
    <xf numFmtId="2" fontId="1" fillId="6" borderId="5" xfId="0" applyNumberFormat="1" applyFont="1" applyFill="1" applyBorder="1" applyAlignment="1" applyProtection="1">
      <alignment horizontal="center" vertical="center"/>
      <protection/>
    </xf>
    <xf numFmtId="1" fontId="4" fillId="5" borderId="1" xfId="0" applyNumberFormat="1" applyFont="1" applyFill="1" applyBorder="1" applyAlignment="1" applyProtection="1">
      <alignment horizontal="center" vertical="center"/>
      <protection/>
    </xf>
    <xf numFmtId="1" fontId="4" fillId="5" borderId="3" xfId="0" applyNumberFormat="1" applyFont="1" applyFill="1" applyBorder="1" applyAlignment="1" applyProtection="1">
      <alignment horizontal="center" vertical="center"/>
      <protection/>
    </xf>
    <xf numFmtId="1" fontId="4" fillId="6" borderId="3" xfId="0" applyNumberFormat="1" applyFont="1" applyFill="1" applyBorder="1" applyAlignment="1" applyProtection="1">
      <alignment horizontal="center" vertical="center"/>
      <protection/>
    </xf>
    <xf numFmtId="180" fontId="1" fillId="6" borderId="9" xfId="0" applyNumberFormat="1" applyFont="1" applyFill="1" applyBorder="1" applyAlignment="1" applyProtection="1">
      <alignment horizontal="center" vertical="center"/>
      <protection/>
    </xf>
    <xf numFmtId="180" fontId="1" fillId="6" borderId="10" xfId="0" applyNumberFormat="1" applyFont="1" applyFill="1" applyBorder="1" applyAlignment="1" applyProtection="1">
      <alignment horizontal="center" vertical="center"/>
      <protection/>
    </xf>
    <xf numFmtId="2" fontId="1" fillId="6" borderId="10" xfId="0" applyNumberFormat="1" applyFont="1" applyFill="1" applyBorder="1" applyAlignment="1" applyProtection="1">
      <alignment horizontal="center" vertical="center"/>
      <protection/>
    </xf>
    <xf numFmtId="180" fontId="1" fillId="6" borderId="0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color rgb="FF0000FF"/>
      </font>
      <border/>
    </dxf>
    <dxf>
      <font>
        <color rgb="FFFF0000"/>
      </font>
      <border/>
    </dxf>
    <dxf>
      <font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zoomScale="125" zoomScaleNormal="125" workbookViewId="0" topLeftCell="A1">
      <selection activeCell="A1" sqref="A1"/>
    </sheetView>
  </sheetViews>
  <sheetFormatPr defaultColWidth="11.421875" defaultRowHeight="12" customHeight="1"/>
  <cols>
    <col min="1" max="1" width="3.7109375" style="2" customWidth="1"/>
    <col min="2" max="2" width="25.7109375" style="2" customWidth="1"/>
    <col min="3" max="3" width="8.7109375" style="2" customWidth="1"/>
    <col min="4" max="10" width="8.00390625" style="2" customWidth="1"/>
    <col min="11" max="16384" width="11.57421875" style="2" customWidth="1"/>
  </cols>
  <sheetData>
    <row r="1" spans="1:10" ht="12" customHeight="1">
      <c r="A1" s="5">
        <v>1</v>
      </c>
      <c r="B1" s="132" t="s">
        <v>203</v>
      </c>
      <c r="C1" s="131" t="s">
        <v>15</v>
      </c>
      <c r="D1" s="131" t="s">
        <v>16</v>
      </c>
      <c r="E1" s="131" t="s">
        <v>18</v>
      </c>
      <c r="F1" s="131" t="s">
        <v>57</v>
      </c>
      <c r="G1" s="131" t="s">
        <v>17</v>
      </c>
      <c r="H1" s="131" t="s">
        <v>21</v>
      </c>
      <c r="I1" s="131" t="s">
        <v>19</v>
      </c>
      <c r="J1" s="131" t="s">
        <v>20</v>
      </c>
    </row>
    <row r="2" spans="1:10" ht="12" customHeight="1">
      <c r="A2" s="5">
        <v>2</v>
      </c>
      <c r="B2" s="38" t="s">
        <v>6</v>
      </c>
      <c r="C2" s="7">
        <v>100</v>
      </c>
      <c r="D2" s="7">
        <v>110</v>
      </c>
      <c r="E2" s="8">
        <v>700</v>
      </c>
      <c r="F2" s="1">
        <v>12</v>
      </c>
      <c r="G2" s="18">
        <f>(C2*1000000)/(SQRT(3)*(D2*1000))</f>
        <v>524.863881081478</v>
      </c>
      <c r="H2" s="13">
        <f>((F2/100)*D2*1000)/(G2*SQRT(3))</f>
        <v>14.52</v>
      </c>
      <c r="I2" s="13">
        <f>E2/(C2*10)</f>
        <v>0.7</v>
      </c>
      <c r="J2" s="19">
        <f>SQRT(F2^2-I2^2)</f>
        <v>11.97956593537512</v>
      </c>
    </row>
    <row r="3" spans="1:10" ht="12" customHeight="1">
      <c r="A3" s="5">
        <v>3</v>
      </c>
      <c r="B3" s="39" t="s">
        <v>5</v>
      </c>
      <c r="C3" s="31" t="s">
        <v>101</v>
      </c>
      <c r="D3" s="31" t="s">
        <v>200</v>
      </c>
      <c r="E3" s="31" t="s">
        <v>115</v>
      </c>
      <c r="F3" s="31" t="s">
        <v>116</v>
      </c>
      <c r="G3" s="30"/>
      <c r="H3" s="30"/>
      <c r="I3" s="30"/>
      <c r="J3" s="30"/>
    </row>
    <row r="4" spans="1:10" ht="12" customHeight="1">
      <c r="A4" s="5">
        <v>4</v>
      </c>
      <c r="B4" s="17" t="s">
        <v>130</v>
      </c>
      <c r="C4" s="13">
        <f>H2*(I2/F2)</f>
        <v>0.8469999999999999</v>
      </c>
      <c r="D4" s="19">
        <v>0</v>
      </c>
      <c r="E4" s="13">
        <f>COS(D4/180*PI())*C4</f>
        <v>0.8469999999999999</v>
      </c>
      <c r="F4" s="13">
        <f>SIN(D4/180*PI())*C4</f>
        <v>0</v>
      </c>
      <c r="G4" s="30"/>
      <c r="H4" s="30"/>
      <c r="I4" s="12"/>
      <c r="J4" s="12"/>
    </row>
    <row r="5" spans="1:9" ht="12" customHeight="1">
      <c r="A5" s="5">
        <v>5</v>
      </c>
      <c r="B5" s="17" t="s">
        <v>131</v>
      </c>
      <c r="C5" s="13">
        <f>H2*(J2/F2)</f>
        <v>14.495274781803895</v>
      </c>
      <c r="D5" s="19">
        <v>90</v>
      </c>
      <c r="E5" s="13">
        <f>COS(D5/180*PI())*C5</f>
        <v>8.879431751201463E-16</v>
      </c>
      <c r="F5" s="13">
        <f>SIN(D5/180*PI())*C5</f>
        <v>14.495274781803895</v>
      </c>
      <c r="G5" s="30"/>
      <c r="H5" s="30"/>
      <c r="I5" s="13"/>
    </row>
    <row r="6" spans="1:10" ht="12" customHeight="1">
      <c r="A6" s="5">
        <v>6</v>
      </c>
      <c r="B6" s="17" t="s">
        <v>132</v>
      </c>
      <c r="C6" s="118">
        <f>SQRT(E6^2+F6^2)</f>
        <v>14.519999999999998</v>
      </c>
      <c r="D6" s="72">
        <f>ATAN2(E6,F6)*180/PI()</f>
        <v>86.65584779554435</v>
      </c>
      <c r="E6" s="48">
        <f>E4+E5</f>
        <v>0.8470000000000008</v>
      </c>
      <c r="F6" s="48">
        <f>F4+F5</f>
        <v>14.495274781803895</v>
      </c>
      <c r="G6" s="42"/>
      <c r="H6" s="30"/>
      <c r="I6" s="30"/>
      <c r="J6" s="30"/>
    </row>
    <row r="7" spans="1:10" ht="12" customHeight="1">
      <c r="A7" s="5">
        <v>7</v>
      </c>
      <c r="B7" s="134" t="s">
        <v>201</v>
      </c>
      <c r="C7" s="135" t="s">
        <v>101</v>
      </c>
      <c r="D7" s="135" t="s">
        <v>200</v>
      </c>
      <c r="E7" s="135" t="s">
        <v>115</v>
      </c>
      <c r="F7" s="135" t="s">
        <v>116</v>
      </c>
      <c r="G7" s="141"/>
      <c r="H7" s="141"/>
      <c r="I7" s="171" t="s">
        <v>157</v>
      </c>
      <c r="J7" s="144" t="s">
        <v>158</v>
      </c>
    </row>
    <row r="8" spans="1:10" ht="12" customHeight="1">
      <c r="A8" s="5">
        <v>8</v>
      </c>
      <c r="B8" s="17" t="s">
        <v>102</v>
      </c>
      <c r="C8" s="85">
        <v>0.01</v>
      </c>
      <c r="D8" s="19">
        <v>0</v>
      </c>
      <c r="E8" s="19">
        <f>COS(D8/180*PI())*C8</f>
        <v>0.01</v>
      </c>
      <c r="F8" s="19">
        <f>SIN(D8/180*PI())*C8</f>
        <v>0</v>
      </c>
      <c r="G8" s="30"/>
      <c r="H8" s="98" t="str">
        <f>IF((J11-J19)&lt;1,"Istwerte in Leitung A","Istwerte in Leitung B")</f>
        <v>Istwerte in Leitung A</v>
      </c>
      <c r="I8" s="172">
        <v>820</v>
      </c>
      <c r="J8" s="143">
        <v>910</v>
      </c>
    </row>
    <row r="9" spans="1:10" ht="12" customHeight="1">
      <c r="A9" s="5">
        <v>9</v>
      </c>
      <c r="B9" s="17" t="s">
        <v>104</v>
      </c>
      <c r="C9" s="85">
        <v>0.03</v>
      </c>
      <c r="D9" s="19">
        <v>90</v>
      </c>
      <c r="E9" s="19">
        <f>COS(D9/180*PI())*C9</f>
        <v>1.83772268236293E-18</v>
      </c>
      <c r="F9" s="19">
        <f>SIN(D9/180*PI())*C9</f>
        <v>0.03</v>
      </c>
      <c r="G9" s="133"/>
      <c r="H9" s="67" t="s">
        <v>164</v>
      </c>
      <c r="I9" s="128">
        <f>I8-E138</f>
        <v>-5.659944200000382</v>
      </c>
      <c r="J9" s="105">
        <f>J8-F138</f>
        <v>-4.7089606000000686</v>
      </c>
    </row>
    <row r="10" spans="1:10" ht="12" customHeight="1">
      <c r="A10" s="5">
        <v>10</v>
      </c>
      <c r="B10" s="17" t="s">
        <v>103</v>
      </c>
      <c r="C10" s="19">
        <f>SQRT(E10^2+F10^2)</f>
        <v>0.03162277660168379</v>
      </c>
      <c r="D10" s="19">
        <f>ATAN2(E10,F10)*180/PI()</f>
        <v>71.56505117707799</v>
      </c>
      <c r="E10" s="19">
        <f>E8+E9</f>
        <v>0.010000000000000002</v>
      </c>
      <c r="F10" s="19">
        <f>F8+F9</f>
        <v>0.03</v>
      </c>
      <c r="G10" s="30"/>
      <c r="H10" s="30"/>
      <c r="J10" s="30"/>
    </row>
    <row r="11" spans="1:10" ht="12" customHeight="1">
      <c r="A11" s="5">
        <v>11</v>
      </c>
      <c r="B11" s="134" t="s">
        <v>7</v>
      </c>
      <c r="C11" s="135" t="s">
        <v>101</v>
      </c>
      <c r="D11" s="135" t="s">
        <v>200</v>
      </c>
      <c r="E11" s="135" t="s">
        <v>115</v>
      </c>
      <c r="F11" s="135" t="s">
        <v>116</v>
      </c>
      <c r="G11" s="186" t="s">
        <v>85</v>
      </c>
      <c r="H11" s="187"/>
      <c r="I11" s="145" t="s">
        <v>13</v>
      </c>
      <c r="J11" s="146">
        <f>C12/C13</f>
        <v>0.24444444444444444</v>
      </c>
    </row>
    <row r="12" spans="1:10" ht="12" customHeight="1">
      <c r="A12" s="5">
        <v>12</v>
      </c>
      <c r="B12" s="17" t="s">
        <v>121</v>
      </c>
      <c r="C12" s="85">
        <v>11</v>
      </c>
      <c r="D12" s="59">
        <v>0</v>
      </c>
      <c r="E12" s="19">
        <f>COS(D12/180*PI())*C12</f>
        <v>11</v>
      </c>
      <c r="F12" s="19">
        <f>SIN(D12/180*PI())*C12</f>
        <v>0</v>
      </c>
      <c r="G12" s="74" t="s">
        <v>0</v>
      </c>
      <c r="H12" s="31" t="s">
        <v>200</v>
      </c>
      <c r="I12" s="96" t="s">
        <v>1</v>
      </c>
      <c r="J12" s="96" t="s">
        <v>2</v>
      </c>
    </row>
    <row r="13" spans="1:10" ht="12" customHeight="1">
      <c r="A13" s="5">
        <v>13</v>
      </c>
      <c r="B13" s="17" t="s">
        <v>122</v>
      </c>
      <c r="C13" s="85">
        <v>45</v>
      </c>
      <c r="D13" s="88">
        <v>90</v>
      </c>
      <c r="E13" s="19">
        <f>COS(D13/180*PI())*C13</f>
        <v>2.756584023544395E-15</v>
      </c>
      <c r="F13" s="19">
        <f>SIN(D13/180*PI())*C13</f>
        <v>45</v>
      </c>
      <c r="G13" s="74">
        <f>SQRT(I13^2+J13^2)</f>
        <v>0.021571968379050326</v>
      </c>
      <c r="H13" s="19">
        <f>ATAN2(I13,J13)*180/PI()</f>
        <v>-76.26053000795048</v>
      </c>
      <c r="I13" s="13">
        <f>(COS((0-D17)/180*PI())*1/C17)</f>
        <v>0.005123501515411689</v>
      </c>
      <c r="J13" s="13">
        <f>(SIN((0-D17)/180*PI())*1/C17)</f>
        <v>-0.02095470238319603</v>
      </c>
    </row>
    <row r="14" spans="1:10" ht="12" customHeight="1">
      <c r="A14" s="5">
        <v>14</v>
      </c>
      <c r="B14" s="17" t="s">
        <v>123</v>
      </c>
      <c r="C14" s="26">
        <f>SQRT(E14^2+F14^2)</f>
        <v>46.32493928760188</v>
      </c>
      <c r="D14" s="26">
        <f>ATAN2(E14,F14)*180/PI()</f>
        <v>76.26373169437743</v>
      </c>
      <c r="E14" s="19">
        <f>E12+E13</f>
        <v>11.000000000000004</v>
      </c>
      <c r="F14" s="19">
        <f>F12+F13</f>
        <v>45</v>
      </c>
      <c r="G14" s="30"/>
      <c r="H14" s="30"/>
      <c r="I14" s="30"/>
      <c r="J14" s="30"/>
    </row>
    <row r="15" spans="1:10" ht="12" customHeight="1">
      <c r="A15" s="5">
        <v>15</v>
      </c>
      <c r="B15" s="17" t="s">
        <v>124</v>
      </c>
      <c r="C15" s="48">
        <f>SQRT(E15^2+F15^2)</f>
        <v>11.01</v>
      </c>
      <c r="D15" s="63">
        <f>ATAN2(E15,F15)*180/PI()</f>
        <v>0</v>
      </c>
      <c r="E15" s="63">
        <f>E8+E12</f>
        <v>11.01</v>
      </c>
      <c r="F15" s="123">
        <f>F8+F12</f>
        <v>0</v>
      </c>
      <c r="G15" s="186" t="s">
        <v>86</v>
      </c>
      <c r="H15" s="188"/>
      <c r="I15" s="50"/>
      <c r="J15" s="50"/>
    </row>
    <row r="16" spans="1:10" ht="12" customHeight="1">
      <c r="A16" s="5">
        <v>16</v>
      </c>
      <c r="B16" s="17" t="s">
        <v>125</v>
      </c>
      <c r="C16" s="13">
        <f>SQRT(E16^2+F16^2)</f>
        <v>45.03</v>
      </c>
      <c r="D16" s="19">
        <f>ATAN2(E16,F16)*180/PI()</f>
        <v>90</v>
      </c>
      <c r="E16" s="19">
        <f>E9+E13</f>
        <v>2.758421746226758E-15</v>
      </c>
      <c r="F16" s="19">
        <f>F9+F13</f>
        <v>45.03</v>
      </c>
      <c r="G16" s="14" t="s">
        <v>101</v>
      </c>
      <c r="H16" s="12" t="s">
        <v>200</v>
      </c>
      <c r="I16" s="12" t="s">
        <v>115</v>
      </c>
      <c r="J16" s="12" t="s">
        <v>116</v>
      </c>
    </row>
    <row r="17" spans="1:10" ht="12" customHeight="1">
      <c r="A17" s="5">
        <v>17</v>
      </c>
      <c r="B17" s="17" t="s">
        <v>126</v>
      </c>
      <c r="C17" s="26">
        <f>SQRT(E17^2+F17^2)</f>
        <v>46.356455861077215</v>
      </c>
      <c r="D17" s="26">
        <f>ATAN2(E17,F17)*180/PI()</f>
        <v>76.26053000795048</v>
      </c>
      <c r="E17" s="19">
        <f>E14+E10</f>
        <v>11.010000000000003</v>
      </c>
      <c r="F17" s="19">
        <f>F14+F10</f>
        <v>45.03</v>
      </c>
      <c r="G17" s="74">
        <f>SQRT(I17^2+J17^2)</f>
        <v>0.09082652134423251</v>
      </c>
      <c r="H17" s="19">
        <f>ATAN2(I17,J17)*180/PI()</f>
        <v>0</v>
      </c>
      <c r="I17" s="13">
        <f>(COS((0-D15)/180*PI())*1/C15)</f>
        <v>0.09082652134423251</v>
      </c>
      <c r="J17" s="13">
        <f>(SIN((0-D15)/180*PI())*1/C15)</f>
        <v>0</v>
      </c>
    </row>
    <row r="18" spans="1:10" ht="12" customHeight="1">
      <c r="A18" s="5">
        <v>18</v>
      </c>
      <c r="B18" s="17"/>
      <c r="C18" s="26"/>
      <c r="D18" s="26"/>
      <c r="E18" s="19"/>
      <c r="F18" s="19"/>
      <c r="G18" s="30"/>
      <c r="H18" s="30"/>
      <c r="I18" s="30"/>
      <c r="J18" s="30"/>
    </row>
    <row r="19" spans="1:10" ht="12" customHeight="1">
      <c r="A19" s="5">
        <v>19</v>
      </c>
      <c r="B19" s="134" t="s">
        <v>8</v>
      </c>
      <c r="C19" s="135" t="s">
        <v>101</v>
      </c>
      <c r="D19" s="135" t="s">
        <v>200</v>
      </c>
      <c r="E19" s="135" t="s">
        <v>115</v>
      </c>
      <c r="F19" s="135" t="s">
        <v>116</v>
      </c>
      <c r="G19" s="186" t="s">
        <v>22</v>
      </c>
      <c r="H19" s="189"/>
      <c r="I19" s="145" t="s">
        <v>13</v>
      </c>
      <c r="J19" s="146">
        <f>C20/C21</f>
        <v>0.3076923076923077</v>
      </c>
    </row>
    <row r="20" spans="1:10" ht="12" customHeight="1">
      <c r="A20" s="5">
        <v>20</v>
      </c>
      <c r="B20" s="17" t="s">
        <v>127</v>
      </c>
      <c r="C20" s="85">
        <v>7.2</v>
      </c>
      <c r="D20" s="59">
        <v>0</v>
      </c>
      <c r="E20" s="19">
        <f>COS(D20/180*PI())*C20</f>
        <v>7.2</v>
      </c>
      <c r="F20" s="19">
        <f>SIN(D20/180*PI())*C20</f>
        <v>0</v>
      </c>
      <c r="G20" s="74" t="s">
        <v>0</v>
      </c>
      <c r="H20" s="31" t="s">
        <v>200</v>
      </c>
      <c r="I20" s="96" t="s">
        <v>1</v>
      </c>
      <c r="J20" s="96" t="s">
        <v>2</v>
      </c>
    </row>
    <row r="21" spans="1:10" ht="12" customHeight="1">
      <c r="A21" s="5">
        <v>21</v>
      </c>
      <c r="B21" s="17" t="s">
        <v>128</v>
      </c>
      <c r="C21" s="85">
        <v>23.4</v>
      </c>
      <c r="D21" s="88">
        <v>90</v>
      </c>
      <c r="E21" s="19">
        <f>COS(D21/180*PI())*C21</f>
        <v>1.4334236922430854E-15</v>
      </c>
      <c r="F21" s="19">
        <f>SIN(D21/180*PI())*C21</f>
        <v>23.4</v>
      </c>
      <c r="G21" s="74">
        <f>SQRT(I21^2+J21^2)</f>
        <v>0.040845256782989316</v>
      </c>
      <c r="H21" s="19">
        <f>ATAN2(I21,J21)*180/PI()</f>
        <v>-72.89727103094764</v>
      </c>
      <c r="I21" s="13">
        <f>(COS((0-D22)/180*PI())*1/C22)</f>
        <v>0.012012012012012005</v>
      </c>
      <c r="J21" s="13">
        <f>(SIN((0-D22)/180*PI())*1/C22)</f>
        <v>-0.03903903903903904</v>
      </c>
    </row>
    <row r="22" spans="1:10" ht="12" customHeight="1">
      <c r="A22" s="5">
        <v>22</v>
      </c>
      <c r="B22" s="17" t="s">
        <v>129</v>
      </c>
      <c r="C22" s="26">
        <f>SQRT(E22^2+F22^2)</f>
        <v>24.482646915723798</v>
      </c>
      <c r="D22" s="26">
        <f>ATAN2(E22,F22)*180/PI()</f>
        <v>72.89727103094764</v>
      </c>
      <c r="E22" s="19">
        <f>E20+E21</f>
        <v>7.200000000000002</v>
      </c>
      <c r="F22" s="19">
        <f>F20+F21</f>
        <v>23.4</v>
      </c>
      <c r="G22" s="30"/>
      <c r="H22" s="30"/>
      <c r="I22" s="30"/>
      <c r="J22" s="30"/>
    </row>
    <row r="23" spans="1:10" ht="12" customHeight="1">
      <c r="A23" s="5">
        <v>23</v>
      </c>
      <c r="B23" s="138" t="s">
        <v>207</v>
      </c>
      <c r="C23" s="139" t="s">
        <v>165</v>
      </c>
      <c r="D23" s="139" t="s">
        <v>166</v>
      </c>
      <c r="E23" s="140" t="s">
        <v>37</v>
      </c>
      <c r="F23" s="141"/>
      <c r="G23" s="186" t="s">
        <v>24</v>
      </c>
      <c r="H23" s="188"/>
      <c r="I23" s="50"/>
      <c r="J23" s="50"/>
    </row>
    <row r="24" spans="1:10" ht="12" customHeight="1">
      <c r="A24" s="5">
        <v>24</v>
      </c>
      <c r="C24" s="57">
        <f>D17</f>
        <v>76.26053000795048</v>
      </c>
      <c r="D24" s="57">
        <f>D22</f>
        <v>72.89727103094764</v>
      </c>
      <c r="E24" s="129">
        <f>C24-D24</f>
        <v>3.363258977002843</v>
      </c>
      <c r="F24" s="30"/>
      <c r="G24" s="74" t="s">
        <v>0</v>
      </c>
      <c r="H24" s="31" t="s">
        <v>200</v>
      </c>
      <c r="I24" s="96" t="s">
        <v>1</v>
      </c>
      <c r="J24" s="96" t="s">
        <v>2</v>
      </c>
    </row>
    <row r="25" spans="1:10" ht="12" customHeight="1">
      <c r="A25" s="5">
        <v>25</v>
      </c>
      <c r="B25" s="136" t="str">
        <f>IF((C24-D24)&lt;1,"relative thermische Belastung in Leitung A höher","relative thermische Belastung in Leitung B höher")</f>
        <v>relative thermische Belastung in Leitung B höher</v>
      </c>
      <c r="C25" s="57"/>
      <c r="D25" s="57"/>
      <c r="E25" s="129"/>
      <c r="F25" s="30"/>
      <c r="G25" s="74">
        <f>SQRT(I25^2+J25^2)</f>
        <v>0.1388888888888889</v>
      </c>
      <c r="H25" s="71">
        <f>ATAN2(I25,J25)*180/PI()</f>
        <v>0</v>
      </c>
      <c r="I25" s="119">
        <f>(COS((0-D20)/180*PI())*1/C20)</f>
        <v>0.1388888888888889</v>
      </c>
      <c r="J25" s="119">
        <f>(SIN((0-D20)/180*PI())*1/C20)</f>
        <v>0</v>
      </c>
    </row>
    <row r="26" spans="1:10" ht="12" customHeight="1">
      <c r="A26" s="5">
        <v>26</v>
      </c>
      <c r="B26" s="17"/>
      <c r="C26" s="19"/>
      <c r="D26" s="19"/>
      <c r="E26" s="19"/>
      <c r="F26" s="19"/>
      <c r="G26" s="96"/>
      <c r="H26" s="18"/>
      <c r="I26" s="18"/>
      <c r="J26" s="30"/>
    </row>
    <row r="27" spans="1:10" ht="12" customHeight="1">
      <c r="A27" s="5">
        <v>27</v>
      </c>
      <c r="B27" s="17"/>
      <c r="C27" s="19"/>
      <c r="D27" s="19"/>
      <c r="E27" s="19"/>
      <c r="F27" s="19"/>
      <c r="G27" s="96"/>
      <c r="H27" s="18"/>
      <c r="I27" s="18"/>
      <c r="J27" s="30"/>
    </row>
    <row r="28" spans="1:10" ht="12" customHeight="1">
      <c r="A28" s="5">
        <v>28</v>
      </c>
      <c r="B28" s="17"/>
      <c r="C28" s="19"/>
      <c r="D28" s="19"/>
      <c r="E28" s="19"/>
      <c r="F28" s="19"/>
      <c r="G28" s="96"/>
      <c r="H28" s="18"/>
      <c r="I28" s="18"/>
      <c r="J28" s="30"/>
    </row>
    <row r="29" spans="1:10" ht="12" customHeight="1">
      <c r="A29" s="5">
        <v>29</v>
      </c>
      <c r="B29" s="17"/>
      <c r="C29" s="19"/>
      <c r="D29" s="19"/>
      <c r="E29" s="19"/>
      <c r="F29" s="19"/>
      <c r="G29" s="96"/>
      <c r="H29" s="18"/>
      <c r="I29" s="18"/>
      <c r="J29" s="30"/>
    </row>
    <row r="30" spans="1:10" ht="12" customHeight="1">
      <c r="A30" s="5">
        <v>30</v>
      </c>
      <c r="B30" s="17"/>
      <c r="C30" s="19"/>
      <c r="D30" s="19"/>
      <c r="E30" s="19"/>
      <c r="F30" s="19"/>
      <c r="G30" s="96"/>
      <c r="H30" s="18"/>
      <c r="I30" s="18"/>
      <c r="J30" s="30"/>
    </row>
    <row r="31" spans="1:10" ht="12" customHeight="1">
      <c r="A31" s="5">
        <v>31</v>
      </c>
      <c r="B31" s="17"/>
      <c r="C31" s="19"/>
      <c r="D31" s="19"/>
      <c r="E31" s="19"/>
      <c r="F31" s="19"/>
      <c r="G31" s="96"/>
      <c r="H31" s="18"/>
      <c r="I31" s="18"/>
      <c r="J31" s="30"/>
    </row>
    <row r="32" spans="1:10" ht="12" customHeight="1">
      <c r="A32" s="5">
        <v>32</v>
      </c>
      <c r="B32" s="17"/>
      <c r="C32" s="19"/>
      <c r="D32" s="19"/>
      <c r="E32" s="19"/>
      <c r="F32" s="19"/>
      <c r="G32" s="96"/>
      <c r="H32" s="18"/>
      <c r="I32" s="18"/>
      <c r="J32" s="30"/>
    </row>
    <row r="33" spans="1:10" ht="12" customHeight="1">
      <c r="A33" s="5">
        <v>33</v>
      </c>
      <c r="B33" s="17"/>
      <c r="C33" s="19"/>
      <c r="D33" s="19"/>
      <c r="E33" s="19"/>
      <c r="F33" s="19"/>
      <c r="G33" s="96"/>
      <c r="H33" s="18"/>
      <c r="I33" s="18"/>
      <c r="J33" s="30"/>
    </row>
    <row r="34" spans="1:10" ht="12" customHeight="1">
      <c r="A34" s="5">
        <v>34</v>
      </c>
      <c r="B34" s="17"/>
      <c r="C34" s="19"/>
      <c r="D34" s="19"/>
      <c r="E34" s="19"/>
      <c r="F34" s="19"/>
      <c r="G34" s="96"/>
      <c r="H34" s="18"/>
      <c r="I34" s="18"/>
      <c r="J34" s="30"/>
    </row>
    <row r="35" spans="1:10" ht="12" customHeight="1">
      <c r="A35" s="5">
        <v>35</v>
      </c>
      <c r="B35" s="17"/>
      <c r="C35" s="19"/>
      <c r="D35" s="19"/>
      <c r="E35" s="19"/>
      <c r="F35" s="19"/>
      <c r="G35" s="96"/>
      <c r="H35" s="18"/>
      <c r="I35" s="18"/>
      <c r="J35" s="30"/>
    </row>
    <row r="36" spans="1:10" ht="12" customHeight="1">
      <c r="A36" s="5">
        <v>36</v>
      </c>
      <c r="B36" s="17"/>
      <c r="C36" s="19"/>
      <c r="D36" s="19"/>
      <c r="E36" s="19"/>
      <c r="F36" s="19"/>
      <c r="G36" s="96"/>
      <c r="H36" s="18"/>
      <c r="I36" s="18"/>
      <c r="J36" s="30"/>
    </row>
    <row r="37" spans="1:10" ht="12" customHeight="1">
      <c r="A37" s="5">
        <v>37</v>
      </c>
      <c r="B37" s="17"/>
      <c r="C37" s="19"/>
      <c r="D37" s="19"/>
      <c r="E37" s="19"/>
      <c r="F37" s="19"/>
      <c r="G37" s="96"/>
      <c r="H37" s="18"/>
      <c r="I37" s="18"/>
      <c r="J37" s="30"/>
    </row>
    <row r="38" spans="1:10" ht="12" customHeight="1">
      <c r="A38" s="5">
        <v>38</v>
      </c>
      <c r="B38" s="17"/>
      <c r="C38" s="19"/>
      <c r="D38" s="19"/>
      <c r="E38" s="19"/>
      <c r="F38" s="19"/>
      <c r="G38" s="96"/>
      <c r="H38" s="18"/>
      <c r="I38" s="18"/>
      <c r="J38" s="30"/>
    </row>
    <row r="39" spans="1:10" ht="12" customHeight="1">
      <c r="A39" s="5">
        <v>39</v>
      </c>
      <c r="B39" s="17"/>
      <c r="C39" s="19"/>
      <c r="D39" s="19"/>
      <c r="E39" s="19"/>
      <c r="F39" s="19"/>
      <c r="G39" s="96"/>
      <c r="H39" s="18"/>
      <c r="I39" s="18"/>
      <c r="J39" s="30"/>
    </row>
    <row r="40" spans="1:10" ht="12" customHeight="1">
      <c r="A40" s="5">
        <v>40</v>
      </c>
      <c r="B40" s="17"/>
      <c r="C40" s="19"/>
      <c r="D40" s="19"/>
      <c r="E40" s="19"/>
      <c r="F40" s="19"/>
      <c r="G40" s="96"/>
      <c r="H40" s="18"/>
      <c r="I40" s="18"/>
      <c r="J40" s="30"/>
    </row>
    <row r="41" spans="1:10" ht="12" customHeight="1">
      <c r="A41" s="5">
        <v>41</v>
      </c>
      <c r="B41" s="17"/>
      <c r="C41" s="19"/>
      <c r="D41" s="19"/>
      <c r="E41" s="19"/>
      <c r="F41" s="19"/>
      <c r="G41" s="96"/>
      <c r="H41" s="18"/>
      <c r="I41" s="18"/>
      <c r="J41" s="30"/>
    </row>
    <row r="42" spans="1:10" ht="12" customHeight="1">
      <c r="A42" s="5">
        <v>42</v>
      </c>
      <c r="B42" s="17"/>
      <c r="C42" s="19"/>
      <c r="D42" s="19"/>
      <c r="E42" s="19"/>
      <c r="F42" s="19"/>
      <c r="G42" s="96"/>
      <c r="H42" s="18"/>
      <c r="I42" s="18"/>
      <c r="J42" s="30"/>
    </row>
    <row r="43" spans="1:10" ht="12" customHeight="1">
      <c r="A43" s="5">
        <v>43</v>
      </c>
      <c r="B43" s="126" t="s">
        <v>188</v>
      </c>
      <c r="C43" s="48" t="s">
        <v>65</v>
      </c>
      <c r="D43" s="29" t="s">
        <v>200</v>
      </c>
      <c r="E43" s="48" t="s">
        <v>117</v>
      </c>
      <c r="F43" s="48" t="s">
        <v>118</v>
      </c>
      <c r="G43" s="147"/>
      <c r="H43" s="50"/>
      <c r="I43" s="33" t="s">
        <v>202</v>
      </c>
      <c r="J43" s="76" t="s">
        <v>200</v>
      </c>
    </row>
    <row r="44" spans="1:10" ht="12" customHeight="1">
      <c r="A44" s="5">
        <v>44</v>
      </c>
      <c r="B44" s="40" t="s">
        <v>144</v>
      </c>
      <c r="C44" s="10">
        <f>D2*1000/SQRT(3)</f>
        <v>63508.52961085884</v>
      </c>
      <c r="D44" s="9">
        <v>0</v>
      </c>
      <c r="E44" s="18">
        <f>(COS((D44)/180*PI())*C44)</f>
        <v>63508.52961085884</v>
      </c>
      <c r="F44" s="19">
        <f>(SIN((D44)/180*PI())*C44)</f>
        <v>0</v>
      </c>
      <c r="G44" s="148" t="s">
        <v>43</v>
      </c>
      <c r="H44" s="30"/>
      <c r="I44" s="154">
        <f>C44*SQRT(3)</f>
        <v>110000</v>
      </c>
      <c r="J44" s="113">
        <f>D44+30</f>
        <v>30</v>
      </c>
    </row>
    <row r="45" spans="1:10" ht="12" customHeight="1">
      <c r="A45" s="5">
        <v>45</v>
      </c>
      <c r="B45" s="41" t="s">
        <v>44</v>
      </c>
      <c r="C45" s="18">
        <f>SQRT(E45^2+F45^2)</f>
        <v>5027.3391902204585</v>
      </c>
      <c r="D45" s="19">
        <f>ATAN2(E45,F45)*180/PI()</f>
        <v>44.16188555172528</v>
      </c>
      <c r="E45" s="18">
        <f>COS((D106+D6)/180*PI())*C106*C6</f>
        <v>3606.4835251572304</v>
      </c>
      <c r="F45" s="18">
        <f>SIN((D106+D6)/180*PI())*C106*C6</f>
        <v>3502.4871043725457</v>
      </c>
      <c r="G45" s="149" t="s">
        <v>40</v>
      </c>
      <c r="H45" s="30"/>
      <c r="I45" s="154">
        <f>C45*SQRT(3)</f>
        <v>8707.606904344011</v>
      </c>
      <c r="J45" s="113">
        <f>D45+30</f>
        <v>74.16188555172528</v>
      </c>
    </row>
    <row r="46" spans="1:10" ht="12" customHeight="1">
      <c r="A46" s="5">
        <v>46</v>
      </c>
      <c r="B46" s="41" t="s">
        <v>45</v>
      </c>
      <c r="C46" s="10">
        <f>SQRT(E46^2+F46^2)</f>
        <v>60004.3543517453</v>
      </c>
      <c r="D46" s="9">
        <f>ATAN2(E46,F46)*180/PI()</f>
        <v>-3.346288143109051</v>
      </c>
      <c r="E46" s="18">
        <f>E44-E45</f>
        <v>59902.04608570161</v>
      </c>
      <c r="F46" s="18">
        <f>F44-F45</f>
        <v>-3502.4871043725457</v>
      </c>
      <c r="G46" s="149" t="s">
        <v>39</v>
      </c>
      <c r="H46" s="30"/>
      <c r="I46" s="154">
        <f>C46*SQRT(3)</f>
        <v>103930.59041258952</v>
      </c>
      <c r="J46" s="113">
        <f>D46+30</f>
        <v>26.65371185689095</v>
      </c>
    </row>
    <row r="47" spans="1:10" ht="12" customHeight="1">
      <c r="A47" s="5">
        <v>47</v>
      </c>
      <c r="B47" s="41"/>
      <c r="C47" s="18"/>
      <c r="D47" s="18"/>
      <c r="E47" s="18"/>
      <c r="F47" s="18"/>
      <c r="G47" s="149"/>
      <c r="H47" s="30"/>
      <c r="I47" s="154"/>
      <c r="J47" s="113"/>
    </row>
    <row r="48" spans="1:10" ht="12" customHeight="1">
      <c r="A48" s="5">
        <v>48</v>
      </c>
      <c r="B48" s="126" t="s">
        <v>189</v>
      </c>
      <c r="C48" s="48" t="s">
        <v>65</v>
      </c>
      <c r="D48" s="29" t="s">
        <v>200</v>
      </c>
      <c r="E48" s="48" t="s">
        <v>117</v>
      </c>
      <c r="F48" s="48" t="s">
        <v>118</v>
      </c>
      <c r="G48" s="150"/>
      <c r="H48" s="61"/>
      <c r="I48" s="155"/>
      <c r="J48" s="114"/>
    </row>
    <row r="49" spans="1:10" ht="12" customHeight="1">
      <c r="A49" s="5">
        <v>49</v>
      </c>
      <c r="B49" s="40" t="s">
        <v>144</v>
      </c>
      <c r="C49" s="10">
        <f>C44</f>
        <v>63508.52961085884</v>
      </c>
      <c r="D49" s="9">
        <v>0</v>
      </c>
      <c r="E49" s="18">
        <f>(COS((D49)/180*PI())*C49)</f>
        <v>63508.52961085884</v>
      </c>
      <c r="F49" s="19">
        <f>(SIN((D49)/180*PI())*C49)</f>
        <v>0</v>
      </c>
      <c r="G49" s="148" t="s">
        <v>43</v>
      </c>
      <c r="H49" s="30"/>
      <c r="I49" s="154">
        <f>C49*SQRT(3)</f>
        <v>110000</v>
      </c>
      <c r="J49" s="113">
        <f>D49+30</f>
        <v>30</v>
      </c>
    </row>
    <row r="50" spans="1:10" ht="12" customHeight="1">
      <c r="A50" s="5">
        <v>50</v>
      </c>
      <c r="B50" s="41" t="s">
        <v>44</v>
      </c>
      <c r="C50" s="18">
        <f>C45</f>
        <v>5027.3391902204585</v>
      </c>
      <c r="D50" s="19">
        <f>ATAN2(E50,F50)*180/PI()</f>
        <v>44.16188555172528</v>
      </c>
      <c r="E50" s="18">
        <f>COS((D106+D6)/180*PI())*C106*C6</f>
        <v>3606.4835251572304</v>
      </c>
      <c r="F50" s="18">
        <f>SIN((D106+D6)/180*PI())*C106*C6</f>
        <v>3502.4871043725457</v>
      </c>
      <c r="G50" s="149" t="s">
        <v>40</v>
      </c>
      <c r="H50" s="30"/>
      <c r="I50" s="154">
        <f>C50*SQRT(3)</f>
        <v>8707.606904344011</v>
      </c>
      <c r="J50" s="113">
        <f>D50+30</f>
        <v>74.16188555172528</v>
      </c>
    </row>
    <row r="51" spans="1:10" ht="12" customHeight="1">
      <c r="A51" s="5">
        <v>51</v>
      </c>
      <c r="B51" s="41" t="s">
        <v>45</v>
      </c>
      <c r="C51" s="10">
        <f>SQRT(E51^2+F51^2)</f>
        <v>60004.3543517453</v>
      </c>
      <c r="D51" s="9">
        <f>ATAN2(E51,F51)*180/PI()</f>
        <v>-3.346288143109051</v>
      </c>
      <c r="E51" s="18">
        <f>E49-E50</f>
        <v>59902.04608570161</v>
      </c>
      <c r="F51" s="18">
        <f>F49-F50</f>
        <v>-3502.4871043725457</v>
      </c>
      <c r="G51" s="149" t="s">
        <v>39</v>
      </c>
      <c r="H51" s="30"/>
      <c r="I51" s="154">
        <f>C51*SQRT(3)</f>
        <v>103930.59041258952</v>
      </c>
      <c r="J51" s="113">
        <f>D51+30</f>
        <v>26.65371185689095</v>
      </c>
    </row>
    <row r="52" spans="1:10" ht="12" customHeight="1">
      <c r="A52" s="5">
        <v>52</v>
      </c>
      <c r="B52" s="41"/>
      <c r="C52" s="18"/>
      <c r="D52" s="18"/>
      <c r="E52" s="18"/>
      <c r="F52" s="18"/>
      <c r="G52" s="149"/>
      <c r="H52" s="30"/>
      <c r="I52" s="130"/>
      <c r="J52" s="71"/>
    </row>
    <row r="53" spans="1:10" ht="12" customHeight="1">
      <c r="A53" s="5">
        <v>53</v>
      </c>
      <c r="B53" s="173" t="str">
        <f>IF((J11-J19)&lt;1,"Zusatzspannung in Leitung A","Zusatzspannung in Leitung B")</f>
        <v>Zusatzspannung in Leitung A</v>
      </c>
      <c r="C53" s="48" t="s">
        <v>65</v>
      </c>
      <c r="D53" s="29" t="s">
        <v>200</v>
      </c>
      <c r="E53" s="48" t="s">
        <v>117</v>
      </c>
      <c r="F53" s="48" t="s">
        <v>118</v>
      </c>
      <c r="G53" s="175" t="s">
        <v>208</v>
      </c>
      <c r="H53" s="49"/>
      <c r="I53" s="50"/>
      <c r="J53" s="50"/>
    </row>
    <row r="54" spans="1:11" ht="12" customHeight="1">
      <c r="A54" s="5">
        <v>54</v>
      </c>
      <c r="B54" s="40" t="s">
        <v>83</v>
      </c>
      <c r="C54" s="9">
        <f>J8</f>
        <v>910</v>
      </c>
      <c r="D54" s="110">
        <v>90</v>
      </c>
      <c r="E54" s="19">
        <f>COS(D54/180*PI())*C54</f>
        <v>5.574425469834221E-14</v>
      </c>
      <c r="F54" s="18">
        <f>SIN(D54/180*PI())*C54</f>
        <v>910</v>
      </c>
      <c r="G54" s="151"/>
      <c r="H54" s="194" t="s">
        <v>167</v>
      </c>
      <c r="I54" s="195" t="s">
        <v>168</v>
      </c>
      <c r="J54" s="21" t="s">
        <v>37</v>
      </c>
      <c r="K54" s="3"/>
    </row>
    <row r="55" spans="1:11" ht="12" customHeight="1">
      <c r="A55" s="5">
        <v>55</v>
      </c>
      <c r="B55" s="40" t="s">
        <v>84</v>
      </c>
      <c r="C55" s="9">
        <f>I8</f>
        <v>820</v>
      </c>
      <c r="D55" s="110">
        <v>0</v>
      </c>
      <c r="E55" s="19">
        <f>COS(D55/180*PI())*C55</f>
        <v>820</v>
      </c>
      <c r="F55" s="18">
        <f>SIN(D55/180*PI())*C55</f>
        <v>0</v>
      </c>
      <c r="G55" s="151"/>
      <c r="H55" s="174">
        <f>D127</f>
        <v>-42.499406127355755</v>
      </c>
      <c r="I55" s="36">
        <f>D128</f>
        <v>-42.49042813170189</v>
      </c>
      <c r="J55" s="137">
        <f>H55-I55</f>
        <v>-0.008977995653864923</v>
      </c>
      <c r="K55" s="3"/>
    </row>
    <row r="56" spans="1:11" ht="12" customHeight="1">
      <c r="A56" s="5">
        <v>56</v>
      </c>
      <c r="B56" s="41" t="s">
        <v>46</v>
      </c>
      <c r="C56" s="19">
        <f>SQRT(E56^2+F56^2)</f>
        <v>1224.9489785293101</v>
      </c>
      <c r="D56" s="19">
        <f>ATAN2(E56,F56)*180/PI()</f>
        <v>47.978020651949755</v>
      </c>
      <c r="E56" s="19">
        <f>E54+E55</f>
        <v>820</v>
      </c>
      <c r="F56" s="19">
        <f>F54+F55</f>
        <v>910</v>
      </c>
      <c r="G56" s="150"/>
      <c r="H56" s="30"/>
      <c r="I56" s="46"/>
      <c r="J56" s="30"/>
      <c r="K56" s="3"/>
    </row>
    <row r="57" spans="1:10" ht="12" customHeight="1">
      <c r="A57" s="5">
        <v>57</v>
      </c>
      <c r="B57" s="156" t="s">
        <v>209</v>
      </c>
      <c r="C57" s="111">
        <f>SQRT(E57^2+F57^2)</f>
        <v>64334.96577985522</v>
      </c>
      <c r="D57" s="111">
        <f>ATAN2(E57,F57)*180/PI()</f>
        <v>0.8104597163977671</v>
      </c>
      <c r="E57" s="112">
        <f>E56+E44</f>
        <v>64328.52961085884</v>
      </c>
      <c r="F57" s="112">
        <f>F56+F44</f>
        <v>910</v>
      </c>
      <c r="G57" s="192" t="s">
        <v>213</v>
      </c>
      <c r="H57" s="120"/>
      <c r="I57" s="115" t="s">
        <v>211</v>
      </c>
      <c r="J57" s="112">
        <f>F138</f>
        <v>914.7089606000001</v>
      </c>
    </row>
    <row r="58" spans="1:10" ht="12" customHeight="1">
      <c r="A58" s="5">
        <v>58</v>
      </c>
      <c r="B58" s="41" t="s">
        <v>210</v>
      </c>
      <c r="C58" s="19">
        <f>SQRT(E58^2+F58^2)</f>
        <v>0.5467901106591726</v>
      </c>
      <c r="D58" s="19">
        <f>ATAN2(E58,F58)*180/PI()</f>
        <v>44.446356363863316</v>
      </c>
      <c r="E58" s="19">
        <f>COS((D10+D72)/180*PI())*C10*C72</f>
        <v>0.39035694218070666</v>
      </c>
      <c r="F58" s="19">
        <f>SIN((D10+D72)/180*PI())*C10*C72</f>
        <v>0.3828849472178277</v>
      </c>
      <c r="G58" s="193" t="s">
        <v>214</v>
      </c>
      <c r="H58" s="30"/>
      <c r="I58" s="191" t="s">
        <v>212</v>
      </c>
      <c r="J58" s="190">
        <f>E138</f>
        <v>825.6599442000004</v>
      </c>
    </row>
    <row r="59" spans="1:10" ht="12" customHeight="1">
      <c r="A59" s="5">
        <v>59</v>
      </c>
      <c r="B59" s="41" t="s">
        <v>216</v>
      </c>
      <c r="C59" s="19">
        <f>SQRT(E59^2+F59^2)</f>
        <v>1224.4032272867923</v>
      </c>
      <c r="D59" s="19">
        <f>ATAN2(E59,F59)*180/PI()</f>
        <v>47.979596812871954</v>
      </c>
      <c r="E59" s="19">
        <f>E56-E58</f>
        <v>819.6096430578193</v>
      </c>
      <c r="F59" s="19">
        <f>F56-F58</f>
        <v>909.6171150527822</v>
      </c>
      <c r="G59" s="152"/>
      <c r="H59" s="30"/>
      <c r="I59" s="40" t="s">
        <v>52</v>
      </c>
      <c r="J59" s="109">
        <f>C56/C44*100</f>
        <v>1.928794424993057</v>
      </c>
    </row>
    <row r="60" spans="1:10" ht="12" customHeight="1">
      <c r="A60" s="5">
        <v>60</v>
      </c>
      <c r="B60" s="41"/>
      <c r="C60" s="19"/>
      <c r="D60" s="19"/>
      <c r="E60" s="19"/>
      <c r="F60" s="71"/>
      <c r="G60" s="116"/>
      <c r="H60" s="64"/>
      <c r="I60" s="203"/>
      <c r="J60" s="129"/>
    </row>
    <row r="61" spans="1:10" ht="12" customHeight="1">
      <c r="A61" s="5">
        <v>61</v>
      </c>
      <c r="B61" s="134" t="s">
        <v>41</v>
      </c>
      <c r="C61" s="153" t="s">
        <v>65</v>
      </c>
      <c r="D61" s="131" t="s">
        <v>200</v>
      </c>
      <c r="E61" s="153" t="s">
        <v>117</v>
      </c>
      <c r="F61" s="153" t="s">
        <v>118</v>
      </c>
      <c r="G61" s="158"/>
      <c r="H61" s="176" t="s">
        <v>33</v>
      </c>
      <c r="I61" s="178" t="s">
        <v>65</v>
      </c>
      <c r="J61" s="177" t="s">
        <v>200</v>
      </c>
    </row>
    <row r="62" spans="1:10" ht="12" customHeight="1">
      <c r="A62" s="5">
        <v>62</v>
      </c>
      <c r="B62" s="41" t="s">
        <v>105</v>
      </c>
      <c r="C62" s="18">
        <f>SQRT(E62^2+F62^2)</f>
        <v>5549.276328394394</v>
      </c>
      <c r="D62" s="19">
        <f>ATAN2(E62,F62)*180/PI()</f>
        <v>31.5655471689924</v>
      </c>
      <c r="E62" s="18">
        <f>COS((D111+D17)/180*PI())*C111*C17</f>
        <v>4728.215729506249</v>
      </c>
      <c r="F62" s="18">
        <f>SIN((D111+D17)/180*PI())*C111*C17</f>
        <v>2904.899961122252</v>
      </c>
      <c r="G62" s="30"/>
      <c r="H62" s="64"/>
      <c r="I62" s="154">
        <f aca="true" t="shared" si="0" ref="I62:I67">C62*SQRT(3)</f>
        <v>9611.628546018364</v>
      </c>
      <c r="J62" s="104">
        <f aca="true" t="shared" si="1" ref="J62:J67">D62+30</f>
        <v>61.565547168992396</v>
      </c>
    </row>
    <row r="63" spans="1:10" ht="12" customHeight="1">
      <c r="A63" s="5">
        <v>63</v>
      </c>
      <c r="B63" s="41" t="s">
        <v>47</v>
      </c>
      <c r="C63" s="18">
        <f>SQRT(E63^2+F63^2)</f>
        <v>5549.276328394394</v>
      </c>
      <c r="D63" s="19">
        <f>ATAN2(E63,F63)*180/PI()</f>
        <v>31.5655471689924</v>
      </c>
      <c r="E63" s="18">
        <f>COS((D112+D22)/180*PI())*C112*C22</f>
        <v>4728.215729506248</v>
      </c>
      <c r="F63" s="18">
        <f>SIN((D112+D22)/180*PI())*C112*C22</f>
        <v>2904.899961122252</v>
      </c>
      <c r="G63" s="30"/>
      <c r="H63" s="64"/>
      <c r="I63" s="154">
        <f t="shared" si="0"/>
        <v>9611.628546018364</v>
      </c>
      <c r="J63" s="104">
        <f t="shared" si="1"/>
        <v>61.565547168992396</v>
      </c>
    </row>
    <row r="64" spans="1:10" ht="12" customHeight="1">
      <c r="A64" s="5">
        <v>64</v>
      </c>
      <c r="B64" s="41" t="s">
        <v>48</v>
      </c>
      <c r="C64" s="18">
        <f>SQRT(E64^2+F64^2)</f>
        <v>55544.632190530276</v>
      </c>
      <c r="D64" s="19">
        <f>ATAN2(E64,F64)*180/PI()</f>
        <v>-6.624138726097769</v>
      </c>
      <c r="E64" s="18">
        <f>COS((D113+D94)/180*PI())*C113*C94</f>
        <v>55173.830356195336</v>
      </c>
      <c r="F64" s="18">
        <f>SIN((D113+D94)/180*PI())*C113*C94</f>
        <v>-6407.3870654948005</v>
      </c>
      <c r="G64" s="65" t="str">
        <f>IF(F64&gt;=0,"voreilend","nacheilend")</f>
        <v>nacheilend</v>
      </c>
      <c r="H64" s="116" t="s">
        <v>133</v>
      </c>
      <c r="I64" s="154">
        <f t="shared" si="0"/>
        <v>96206.12504172421</v>
      </c>
      <c r="J64" s="104">
        <f t="shared" si="1"/>
        <v>23.37586127390223</v>
      </c>
    </row>
    <row r="65" spans="1:10" ht="12" customHeight="1">
      <c r="A65" s="5">
        <v>65</v>
      </c>
      <c r="B65" s="156" t="s">
        <v>49</v>
      </c>
      <c r="C65" s="106">
        <f>SQRT(E65^2+F65^2)</f>
        <v>63508.529610858815</v>
      </c>
      <c r="D65" s="72">
        <f>ATAN2(E65,F65)*180/PI()</f>
        <v>0</v>
      </c>
      <c r="E65" s="106">
        <f>E45+E62+E64</f>
        <v>63508.529610858815</v>
      </c>
      <c r="F65" s="72">
        <f>F45+F62+F64</f>
        <v>0</v>
      </c>
      <c r="G65" s="50"/>
      <c r="H65" s="50"/>
      <c r="I65" s="157">
        <f t="shared" si="0"/>
        <v>109999.99999999996</v>
      </c>
      <c r="J65" s="105">
        <f t="shared" si="1"/>
        <v>30</v>
      </c>
    </row>
    <row r="66" spans="1:10" ht="12" customHeight="1">
      <c r="A66" s="5">
        <v>66</v>
      </c>
      <c r="B66" s="41" t="s">
        <v>56</v>
      </c>
      <c r="C66" s="18">
        <f>SQRT(E66^2+F66^2)</f>
        <v>60776.989471538465</v>
      </c>
      <c r="D66" s="19">
        <f>ATAN2(E66,F66)*180/PI()</f>
        <v>-2.4450965739802273</v>
      </c>
      <c r="E66" s="18">
        <f>E46+E59</f>
        <v>60721.655728759426</v>
      </c>
      <c r="F66" s="18">
        <f>F46+F59</f>
        <v>-2592.8699893197636</v>
      </c>
      <c r="G66" s="30"/>
      <c r="H66" s="64"/>
      <c r="I66" s="154">
        <f t="shared" si="0"/>
        <v>105268.83369578335</v>
      </c>
      <c r="J66" s="104">
        <f t="shared" si="1"/>
        <v>27.554903426019774</v>
      </c>
    </row>
    <row r="67" spans="1:10" ht="12" customHeight="1">
      <c r="A67" s="5">
        <v>67</v>
      </c>
      <c r="B67" s="41" t="s">
        <v>45</v>
      </c>
      <c r="C67" s="18">
        <f>C46</f>
        <v>60004.3543517453</v>
      </c>
      <c r="D67" s="19">
        <f>D46</f>
        <v>-3.346288143109051</v>
      </c>
      <c r="E67" s="18">
        <f>E46</f>
        <v>59902.04608570161</v>
      </c>
      <c r="F67" s="18">
        <f>F46</f>
        <v>-3502.4871043725457</v>
      </c>
      <c r="G67" s="30"/>
      <c r="H67" s="64"/>
      <c r="I67" s="154">
        <f t="shared" si="0"/>
        <v>103930.59041258952</v>
      </c>
      <c r="J67" s="104">
        <f t="shared" si="1"/>
        <v>26.65371185689095</v>
      </c>
    </row>
    <row r="68" spans="1:10" ht="12" customHeight="1">
      <c r="A68" s="5">
        <v>68</v>
      </c>
      <c r="B68" s="41"/>
      <c r="C68" s="18"/>
      <c r="D68" s="19"/>
      <c r="E68" s="18"/>
      <c r="F68" s="18"/>
      <c r="G68" s="30"/>
      <c r="H68" s="64"/>
      <c r="I68" s="130"/>
      <c r="J68" s="57"/>
    </row>
    <row r="69" spans="1:10" ht="12" customHeight="1">
      <c r="A69" s="5">
        <v>69</v>
      </c>
      <c r="B69" s="134" t="s">
        <v>38</v>
      </c>
      <c r="C69" s="131" t="s">
        <v>67</v>
      </c>
      <c r="D69" s="131" t="s">
        <v>200</v>
      </c>
      <c r="E69" s="131" t="s">
        <v>115</v>
      </c>
      <c r="F69" s="131" t="s">
        <v>116</v>
      </c>
      <c r="G69" s="142"/>
      <c r="H69" s="142"/>
      <c r="I69" s="159"/>
      <c r="J69" s="160"/>
    </row>
    <row r="70" spans="1:10" ht="12" customHeight="1">
      <c r="A70" s="5">
        <v>70</v>
      </c>
      <c r="B70" s="17" t="s">
        <v>68</v>
      </c>
      <c r="C70" s="19">
        <f>SQRT(E70^2+F70^2)</f>
        <v>70.8430659980213</v>
      </c>
      <c r="D70" s="19">
        <f>ATAN2(E70,F70)*180/PI()</f>
        <v>75.09671546516444</v>
      </c>
      <c r="E70" s="19">
        <f>E79+E10</f>
        <v>18.220000000000006</v>
      </c>
      <c r="F70" s="19">
        <f>F79+F10</f>
        <v>68.46000000000001</v>
      </c>
      <c r="G70" s="42" t="str">
        <f>IF(D70&gt;=0,"induktiv","kapazitiv")</f>
        <v>induktiv</v>
      </c>
      <c r="H70" s="12"/>
      <c r="I70" s="66"/>
      <c r="J70" s="30"/>
    </row>
    <row r="71" spans="1:10" ht="12" customHeight="1">
      <c r="A71" s="5">
        <v>71</v>
      </c>
      <c r="B71" s="17"/>
      <c r="C71" s="67" t="s">
        <v>69</v>
      </c>
      <c r="D71" s="29" t="s">
        <v>200</v>
      </c>
      <c r="E71" s="67" t="s">
        <v>119</v>
      </c>
      <c r="F71" s="67" t="s">
        <v>120</v>
      </c>
      <c r="G71" s="42"/>
      <c r="H71" s="12"/>
      <c r="I71" s="66"/>
      <c r="J71" s="30"/>
    </row>
    <row r="72" spans="1:10" ht="12" customHeight="1">
      <c r="A72" s="5">
        <v>72</v>
      </c>
      <c r="B72" s="40" t="s">
        <v>70</v>
      </c>
      <c r="C72" s="87">
        <f>SQRT(E72^2+F72^2)</f>
        <v>17.291021517384976</v>
      </c>
      <c r="D72" s="87">
        <f>ATAN2(E72,F72)*180/PI()</f>
        <v>-27.118694813214677</v>
      </c>
      <c r="E72" s="19">
        <f>COS((D56-D70)/180*PI())*C56/C70</f>
        <v>15.390117838341896</v>
      </c>
      <c r="F72" s="19">
        <f>(SIN((D56-D70)/180*PI())*C56/C70)</f>
        <v>-7.881858793242922</v>
      </c>
      <c r="G72" s="43" t="str">
        <f>IF(F72&gt;=0,"voreilend","nacheilend")</f>
        <v>nacheilend</v>
      </c>
      <c r="H72" s="43" t="s">
        <v>133</v>
      </c>
      <c r="I72" s="30"/>
      <c r="J72" s="30"/>
    </row>
    <row r="73" spans="1:10" ht="12" customHeight="1">
      <c r="A73" s="5">
        <v>73</v>
      </c>
      <c r="B73" s="40" t="s">
        <v>71</v>
      </c>
      <c r="C73" s="87">
        <f>C72</f>
        <v>17.291021517384976</v>
      </c>
      <c r="D73" s="87">
        <f>D72+180</f>
        <v>152.8813051867853</v>
      </c>
      <c r="E73" s="19">
        <f>(COS((D73)/180*PI())*C73)</f>
        <v>-15.390117838341896</v>
      </c>
      <c r="F73" s="19">
        <f>(SIN((D73)/180*PI())*C73)</f>
        <v>7.881858793242924</v>
      </c>
      <c r="G73" s="43" t="str">
        <f>IF(F73&gt;=0,"voreilend","nacheilend")</f>
        <v>voreilend</v>
      </c>
      <c r="H73" s="43" t="s">
        <v>133</v>
      </c>
      <c r="I73" s="30"/>
      <c r="J73" s="30"/>
    </row>
    <row r="74" spans="1:10" ht="12" customHeight="1">
      <c r="A74" s="5">
        <v>74</v>
      </c>
      <c r="B74" s="40"/>
      <c r="C74" s="40"/>
      <c r="D74" s="40"/>
      <c r="E74" s="19"/>
      <c r="F74" s="19"/>
      <c r="G74" s="43"/>
      <c r="H74" s="43"/>
      <c r="I74" s="30"/>
      <c r="J74" s="30"/>
    </row>
    <row r="75" spans="1:10" ht="12" customHeight="1">
      <c r="A75" s="5">
        <v>75</v>
      </c>
      <c r="B75" s="134" t="s">
        <v>25</v>
      </c>
      <c r="C75" s="144"/>
      <c r="D75" s="144"/>
      <c r="E75" s="144"/>
      <c r="F75" s="144"/>
      <c r="G75" s="144"/>
      <c r="H75" s="144"/>
      <c r="I75" s="135"/>
      <c r="J75" s="144"/>
    </row>
    <row r="76" spans="1:10" ht="12" customHeight="1">
      <c r="A76" s="5">
        <v>76</v>
      </c>
      <c r="B76" s="11" t="s">
        <v>135</v>
      </c>
      <c r="C76" s="13" t="s">
        <v>0</v>
      </c>
      <c r="D76" s="12" t="s">
        <v>200</v>
      </c>
      <c r="E76" s="47" t="s">
        <v>1</v>
      </c>
      <c r="F76" s="47" t="s">
        <v>2</v>
      </c>
      <c r="G76" s="30"/>
      <c r="H76" s="13"/>
      <c r="I76" s="12"/>
      <c r="J76" s="45"/>
    </row>
    <row r="77" spans="1:10" ht="12" customHeight="1">
      <c r="A77" s="5">
        <v>77</v>
      </c>
      <c r="B77" s="17" t="s">
        <v>87</v>
      </c>
      <c r="C77" s="13">
        <f>SQRT(E77^2+F77^2)</f>
        <v>0.06239290691806661</v>
      </c>
      <c r="D77" s="19">
        <f>ATAN2(E77,F77)*180/PI()</f>
        <v>-74.0595094128115</v>
      </c>
      <c r="E77" s="13">
        <f>I13+I21</f>
        <v>0.017135513527423693</v>
      </c>
      <c r="F77" s="13">
        <f>J13+J21</f>
        <v>-0.05999374142223507</v>
      </c>
      <c r="G77" s="47"/>
      <c r="H77" s="30"/>
      <c r="I77" s="17"/>
      <c r="J77" s="17"/>
    </row>
    <row r="78" spans="1:10" ht="12" customHeight="1">
      <c r="A78" s="5">
        <v>78</v>
      </c>
      <c r="B78" s="17" t="s">
        <v>88</v>
      </c>
      <c r="C78" s="19">
        <f>SQRT(E78^2+F78^2)</f>
        <v>16.027462886337133</v>
      </c>
      <c r="D78" s="19">
        <f>ATAN2(E78,F78)*180/PI()</f>
        <v>74.0595094128115</v>
      </c>
      <c r="E78" s="19">
        <f>(COS((0-D77)/180*PI())*1/C77)</f>
        <v>4.401763287928905</v>
      </c>
      <c r="F78" s="19">
        <f>(SIN((0-D77)/180*PI())*1/C77)</f>
        <v>15.411166293631238</v>
      </c>
      <c r="G78" s="42"/>
      <c r="H78" s="30"/>
      <c r="I78" s="17"/>
      <c r="J78" s="17"/>
    </row>
    <row r="79" spans="1:10" ht="12" customHeight="1">
      <c r="A79" s="5">
        <v>79</v>
      </c>
      <c r="B79" s="17" t="s">
        <v>89</v>
      </c>
      <c r="C79" s="19">
        <f>SQRT(E79^2+F79^2)</f>
        <v>70.81150330278267</v>
      </c>
      <c r="D79" s="19">
        <f>ATAN2(E79,F79)*180/PI()</f>
        <v>75.09829162608663</v>
      </c>
      <c r="E79" s="19">
        <f>E17+E22</f>
        <v>18.210000000000004</v>
      </c>
      <c r="F79" s="19">
        <f>F17+F22</f>
        <v>68.43</v>
      </c>
      <c r="G79" s="42"/>
      <c r="H79" s="30"/>
      <c r="I79" s="17"/>
      <c r="J79" s="17"/>
    </row>
    <row r="80" spans="1:10" ht="12" customHeight="1">
      <c r="A80" s="5">
        <v>80</v>
      </c>
      <c r="B80" s="43" t="s">
        <v>14</v>
      </c>
      <c r="C80" s="48" t="s">
        <v>0</v>
      </c>
      <c r="D80" s="29" t="s">
        <v>200</v>
      </c>
      <c r="E80" s="67" t="s">
        <v>1</v>
      </c>
      <c r="F80" s="67" t="s">
        <v>2</v>
      </c>
      <c r="G80" s="30"/>
      <c r="H80" s="13"/>
      <c r="I80" s="12"/>
      <c r="J80" s="17"/>
    </row>
    <row r="81" spans="1:10" ht="12" customHeight="1">
      <c r="A81" s="5">
        <v>81</v>
      </c>
      <c r="B81" s="17" t="s">
        <v>90</v>
      </c>
      <c r="C81" s="13">
        <f>SQRT(E81^2+F81^2)</f>
        <v>0.6546458371722713</v>
      </c>
      <c r="D81" s="19">
        <f>ATAN2(E81,F81)*180/PI()</f>
        <v>1.1622383818638438</v>
      </c>
      <c r="E81" s="13">
        <f>(COS((D17-D79)/180*PI())*C17/C79)</f>
        <v>0.6545111560628278</v>
      </c>
      <c r="F81" s="13">
        <f>(SIN((D17-D79)/180*PI())*C17/C79)</f>
        <v>0.013278505800147444</v>
      </c>
      <c r="G81" s="42"/>
      <c r="H81" s="30"/>
      <c r="I81" s="17"/>
      <c r="J81" s="17"/>
    </row>
    <row r="82" spans="1:10" ht="12" customHeight="1">
      <c r="A82" s="5">
        <v>82</v>
      </c>
      <c r="B82" s="17" t="s">
        <v>91</v>
      </c>
      <c r="C82" s="13">
        <f>SQRT(E82^2+F82^2)</f>
        <v>0.3457439225804673</v>
      </c>
      <c r="D82" s="19">
        <f>ATAN2(E82,F82)*180/PI()</f>
        <v>-2.201020595138999</v>
      </c>
      <c r="E82" s="13">
        <f>(COS((D22-D79)/180*PI())*C22/C79)</f>
        <v>0.34548884393717205</v>
      </c>
      <c r="F82" s="13">
        <f>(SIN((D22-D79)/180*PI())*C22/C79)</f>
        <v>-0.013278505800147524</v>
      </c>
      <c r="G82" s="42"/>
      <c r="H82" s="30"/>
      <c r="I82" s="17"/>
      <c r="J82" s="17"/>
    </row>
    <row r="83" spans="1:10" ht="12" customHeight="1">
      <c r="A83" s="5">
        <v>83</v>
      </c>
      <c r="B83" s="17"/>
      <c r="C83" s="13"/>
      <c r="D83" s="19"/>
      <c r="E83" s="13"/>
      <c r="F83" s="13"/>
      <c r="G83" s="42"/>
      <c r="H83" s="30"/>
      <c r="I83" s="17"/>
      <c r="J83" s="17"/>
    </row>
    <row r="84" spans="1:10" ht="12" customHeight="1">
      <c r="A84" s="5">
        <v>84</v>
      </c>
      <c r="B84" s="11" t="s">
        <v>136</v>
      </c>
      <c r="C84" s="48" t="s">
        <v>0</v>
      </c>
      <c r="D84" s="29" t="s">
        <v>200</v>
      </c>
      <c r="E84" s="67" t="s">
        <v>1</v>
      </c>
      <c r="F84" s="67" t="s">
        <v>2</v>
      </c>
      <c r="G84" s="42"/>
      <c r="H84" s="30"/>
      <c r="I84" s="17"/>
      <c r="J84" s="17"/>
    </row>
    <row r="85" spans="1:10" ht="12" customHeight="1">
      <c r="A85" s="5">
        <v>85</v>
      </c>
      <c r="B85" s="17" t="s">
        <v>92</v>
      </c>
      <c r="C85" s="19">
        <f>SQRT(E85^2+F85^2)</f>
        <v>18.21</v>
      </c>
      <c r="D85" s="19">
        <f>ATAN2(E85,F85)*180/PI()</f>
        <v>0</v>
      </c>
      <c r="E85" s="19">
        <f>E15+E20</f>
        <v>18.21</v>
      </c>
      <c r="F85" s="19">
        <f>F15+F20</f>
        <v>0</v>
      </c>
      <c r="G85" s="42"/>
      <c r="H85" s="30"/>
      <c r="I85" s="17"/>
      <c r="J85" s="17"/>
    </row>
    <row r="86" spans="1:10" ht="12" customHeight="1">
      <c r="A86" s="5">
        <v>86</v>
      </c>
      <c r="B86" s="17" t="s">
        <v>93</v>
      </c>
      <c r="C86" s="19">
        <f>SQRT(E86^2+F86^2)</f>
        <v>0.22971541023312142</v>
      </c>
      <c r="D86" s="19">
        <f>ATAN2(E86,F86)*180/PI()</f>
        <v>0</v>
      </c>
      <c r="E86" s="19">
        <f>I17+I25</f>
        <v>0.22971541023312142</v>
      </c>
      <c r="F86" s="19">
        <f>J17+J25</f>
        <v>0</v>
      </c>
      <c r="G86" s="42"/>
      <c r="H86" s="30"/>
      <c r="I86" s="17"/>
      <c r="J86" s="17"/>
    </row>
    <row r="87" spans="1:10" ht="12" customHeight="1">
      <c r="A87" s="5">
        <v>87</v>
      </c>
      <c r="B87" s="17" t="s">
        <v>94</v>
      </c>
      <c r="C87" s="19">
        <f>SQRT(E87^2+F87^2)</f>
        <v>4.353212520593081</v>
      </c>
      <c r="D87" s="19">
        <f>ATAN2(E87,F87)*180/PI()</f>
        <v>0</v>
      </c>
      <c r="E87" s="19">
        <f>(COS((0-D86)/180*PI())*1/C86)</f>
        <v>4.353212520593081</v>
      </c>
      <c r="F87" s="19">
        <f>(SIN((0-D86)/180*PI())*1/C86)</f>
        <v>0</v>
      </c>
      <c r="G87" s="42"/>
      <c r="H87" s="30"/>
      <c r="I87" s="17"/>
      <c r="J87" s="17"/>
    </row>
    <row r="88" spans="1:10" ht="12" customHeight="1">
      <c r="A88" s="5">
        <v>88</v>
      </c>
      <c r="B88" s="43" t="s">
        <v>14</v>
      </c>
      <c r="C88" s="48" t="s">
        <v>0</v>
      </c>
      <c r="D88" s="29" t="s">
        <v>200</v>
      </c>
      <c r="E88" s="67" t="s">
        <v>1</v>
      </c>
      <c r="F88" s="67" t="s">
        <v>2</v>
      </c>
      <c r="G88" s="42"/>
      <c r="H88" s="30"/>
      <c r="I88" s="17"/>
      <c r="J88" s="17"/>
    </row>
    <row r="89" spans="1:10" ht="12" customHeight="1">
      <c r="A89" s="5">
        <v>89</v>
      </c>
      <c r="B89" s="17" t="s">
        <v>95</v>
      </c>
      <c r="C89" s="13">
        <f>SQRT(E89^2+F89^2)</f>
        <v>0.6046128500823723</v>
      </c>
      <c r="D89" s="19">
        <f>ATAN2(E89,F89)*180/PI()</f>
        <v>0</v>
      </c>
      <c r="E89" s="13">
        <f>(COS((D15-D85)/180*PI())*C15/C85)</f>
        <v>0.6046128500823723</v>
      </c>
      <c r="F89" s="19">
        <f>(SIN((D15-D85)/180*PI())*C15/C85)</f>
        <v>0</v>
      </c>
      <c r="G89" s="42"/>
      <c r="H89" s="30"/>
      <c r="I89" s="17"/>
      <c r="J89" s="17"/>
    </row>
    <row r="90" spans="1:10" ht="12" customHeight="1">
      <c r="A90" s="5">
        <v>90</v>
      </c>
      <c r="B90" s="17" t="s">
        <v>96</v>
      </c>
      <c r="C90" s="13">
        <f>SQRT(E90^2+F90^2)</f>
        <v>0.3953871499176277</v>
      </c>
      <c r="D90" s="19">
        <f>ATAN2(E90,F90)*180/PI()</f>
        <v>0</v>
      </c>
      <c r="E90" s="13">
        <f>(COS((D20-D85)/180*PI())*C20/C85)</f>
        <v>0.3953871499176277</v>
      </c>
      <c r="F90" s="19">
        <f>(SIN((D20-D85)/180*PI())*C20/C85)</f>
        <v>0</v>
      </c>
      <c r="G90" s="42"/>
      <c r="H90" s="30"/>
      <c r="I90" s="17"/>
      <c r="J90" s="17"/>
    </row>
    <row r="91" spans="1:10" ht="12" customHeight="1">
      <c r="A91" s="5">
        <v>91</v>
      </c>
      <c r="B91" s="17"/>
      <c r="C91" s="13"/>
      <c r="D91" s="19"/>
      <c r="E91" s="13"/>
      <c r="F91" s="19"/>
      <c r="G91" s="42"/>
      <c r="H91" s="30"/>
      <c r="I91" s="17"/>
      <c r="J91" s="17"/>
    </row>
    <row r="92" spans="1:10" s="4" customFormat="1" ht="12" customHeight="1">
      <c r="A92" s="5">
        <v>92</v>
      </c>
      <c r="B92" s="134" t="s">
        <v>160</v>
      </c>
      <c r="C92" s="144"/>
      <c r="D92" s="144"/>
      <c r="E92" s="144"/>
      <c r="F92" s="144"/>
      <c r="G92" s="144"/>
      <c r="H92" s="144"/>
      <c r="I92" s="135"/>
      <c r="J92" s="144"/>
    </row>
    <row r="93" spans="1:10" s="4" customFormat="1" ht="12" customHeight="1">
      <c r="A93" s="5">
        <v>93</v>
      </c>
      <c r="B93" s="45" t="s">
        <v>53</v>
      </c>
      <c r="C93" s="12" t="s">
        <v>72</v>
      </c>
      <c r="D93" s="12" t="s">
        <v>200</v>
      </c>
      <c r="E93" s="12" t="s">
        <v>138</v>
      </c>
      <c r="F93" s="12" t="s">
        <v>139</v>
      </c>
      <c r="G93" s="68"/>
      <c r="H93" s="69" t="s">
        <v>150</v>
      </c>
      <c r="I93" s="68"/>
      <c r="J93" s="47" t="s">
        <v>183</v>
      </c>
    </row>
    <row r="94" spans="1:10" ht="12" customHeight="1">
      <c r="A94" s="5">
        <v>94</v>
      </c>
      <c r="B94" s="17" t="s">
        <v>149</v>
      </c>
      <c r="C94" s="103">
        <f>SQRT(E94^2+F94^2)</f>
        <v>160.4244370412438</v>
      </c>
      <c r="D94" s="9">
        <f>ATAN2(E94,F94)*180/PI()</f>
        <v>35.86982351772131</v>
      </c>
      <c r="E94" s="94">
        <v>130</v>
      </c>
      <c r="F94" s="94">
        <v>94</v>
      </c>
      <c r="G94" s="70" t="str">
        <f>IF(H94&gt;=0,"induktiv","kapazitiv")</f>
        <v>induktiv</v>
      </c>
      <c r="H94" s="108">
        <v>1</v>
      </c>
      <c r="I94" s="17"/>
      <c r="J94" s="13">
        <f>G98/C46</f>
        <v>0.925676691143577</v>
      </c>
    </row>
    <row r="95" spans="1:10" ht="12" customHeight="1">
      <c r="A95" s="5">
        <v>95</v>
      </c>
      <c r="B95" s="17" t="s">
        <v>12</v>
      </c>
      <c r="C95" s="107">
        <v>0.78</v>
      </c>
      <c r="D95" s="19">
        <f>(ACOS(C95)*180/PI())</f>
        <v>38.739424597855646</v>
      </c>
      <c r="E95" s="12" t="s">
        <v>115</v>
      </c>
      <c r="F95" s="12" t="s">
        <v>116</v>
      </c>
      <c r="G95" s="68"/>
      <c r="H95" s="30"/>
      <c r="I95" s="17"/>
      <c r="J95" s="47"/>
    </row>
    <row r="96" spans="1:10" ht="12" customHeight="1">
      <c r="A96" s="5">
        <v>96</v>
      </c>
      <c r="B96" s="17" t="s">
        <v>9</v>
      </c>
      <c r="C96" s="85">
        <v>160</v>
      </c>
      <c r="D96" s="71">
        <f>D95</f>
        <v>38.739424597855646</v>
      </c>
      <c r="E96" s="19">
        <f>COS(D96/180*PI())*C96</f>
        <v>124.80000000000003</v>
      </c>
      <c r="F96" s="19">
        <f>SIN(D96/180*PI())*C96</f>
        <v>100.12472222183688</v>
      </c>
      <c r="G96" s="30"/>
      <c r="H96" s="30"/>
      <c r="I96" s="30"/>
      <c r="J96" s="30"/>
    </row>
    <row r="97" spans="1:10" ht="12" customHeight="1">
      <c r="A97" s="5">
        <v>97</v>
      </c>
      <c r="B97" s="11" t="s">
        <v>29</v>
      </c>
      <c r="C97" s="48" t="s">
        <v>30</v>
      </c>
      <c r="D97" s="67" t="s">
        <v>3</v>
      </c>
      <c r="E97" s="67" t="s">
        <v>54</v>
      </c>
      <c r="F97" s="50"/>
      <c r="G97" s="29" t="s">
        <v>182</v>
      </c>
      <c r="H97" s="29" t="s">
        <v>200</v>
      </c>
      <c r="I97" s="48" t="s">
        <v>117</v>
      </c>
      <c r="J97" s="48" t="s">
        <v>118</v>
      </c>
    </row>
    <row r="98" spans="1:10" ht="12" customHeight="1">
      <c r="A98" s="5">
        <v>98</v>
      </c>
      <c r="B98" s="30"/>
      <c r="C98" s="19">
        <f>SQRT(D98^2+E98^2)</f>
        <v>19.23152246679296</v>
      </c>
      <c r="D98" s="19">
        <f>(COS((D64+D106)/180*PI())*C64*C106)/1000000</f>
        <v>12.587069738104168</v>
      </c>
      <c r="E98" s="19">
        <f>(SIN((D64+D106)/180*PI())*C64*C106)/1000000</f>
        <v>-14.540190225676714</v>
      </c>
      <c r="F98" s="30"/>
      <c r="G98" s="18">
        <f>SQRT(J98^2+I98^2)</f>
        <v>55544.63219053028</v>
      </c>
      <c r="H98" s="19">
        <f>ATAN2(I98,J98)*180/PI()</f>
        <v>-6.624138726097769</v>
      </c>
      <c r="I98" s="18">
        <f>COS((D94+D106)/180*PI())*C94*C106</f>
        <v>55173.83035619534</v>
      </c>
      <c r="J98" s="18">
        <f>SIN((D94+D106)/180*PI())*C94*C106</f>
        <v>-6407.387065494801</v>
      </c>
    </row>
    <row r="99" spans="1:10" ht="12" customHeight="1">
      <c r="A99" s="5">
        <v>99</v>
      </c>
      <c r="B99" s="11" t="s">
        <v>26</v>
      </c>
      <c r="C99" s="29" t="s">
        <v>101</v>
      </c>
      <c r="D99" s="29" t="s">
        <v>200</v>
      </c>
      <c r="E99" s="29" t="s">
        <v>115</v>
      </c>
      <c r="F99" s="29" t="s">
        <v>116</v>
      </c>
      <c r="G99" s="30"/>
      <c r="H99" s="30"/>
      <c r="I99" s="30"/>
      <c r="J99" s="30"/>
    </row>
    <row r="100" spans="1:10" ht="12" customHeight="1">
      <c r="A100" s="5">
        <v>100</v>
      </c>
      <c r="B100" s="17" t="s">
        <v>97</v>
      </c>
      <c r="C100" s="19">
        <f>SQRT(E100^2+F100^2)</f>
        <v>173.30504114028852</v>
      </c>
      <c r="D100" s="19">
        <f>ATAN2(E100,F100)*180/PI()</f>
        <v>39.14767410071003</v>
      </c>
      <c r="E100" s="19">
        <f>E78+E94</f>
        <v>134.4017632879289</v>
      </c>
      <c r="F100" s="19">
        <f>F78+F94</f>
        <v>109.41116629363124</v>
      </c>
      <c r="G100" s="42"/>
      <c r="H100" s="30"/>
      <c r="I100" s="30"/>
      <c r="J100" s="30"/>
    </row>
    <row r="101" spans="1:10" ht="12" customHeight="1">
      <c r="A101" s="5">
        <v>101</v>
      </c>
      <c r="B101" s="17"/>
      <c r="C101" s="19"/>
      <c r="D101" s="19"/>
      <c r="E101" s="19"/>
      <c r="F101" s="19"/>
      <c r="G101" s="42"/>
      <c r="H101" s="30"/>
      <c r="I101" s="30"/>
      <c r="J101" s="30"/>
    </row>
    <row r="102" spans="1:10" ht="12" customHeight="1">
      <c r="A102" s="5">
        <v>102</v>
      </c>
      <c r="B102" s="134" t="s">
        <v>4</v>
      </c>
      <c r="C102" s="144"/>
      <c r="D102" s="144"/>
      <c r="E102" s="144"/>
      <c r="F102" s="144"/>
      <c r="G102" s="144"/>
      <c r="H102" s="144"/>
      <c r="I102" s="135"/>
      <c r="J102" s="144"/>
    </row>
    <row r="103" spans="1:10" ht="12" customHeight="1">
      <c r="A103" s="5">
        <v>103</v>
      </c>
      <c r="B103" s="86" t="s">
        <v>11</v>
      </c>
      <c r="C103" s="12" t="s">
        <v>101</v>
      </c>
      <c r="D103" s="12" t="s">
        <v>200</v>
      </c>
      <c r="E103" s="12" t="s">
        <v>115</v>
      </c>
      <c r="F103" s="12" t="s">
        <v>116</v>
      </c>
      <c r="G103" s="12"/>
      <c r="H103" s="12"/>
      <c r="I103" s="55" t="s">
        <v>140</v>
      </c>
      <c r="J103" s="12"/>
    </row>
    <row r="104" spans="1:10" ht="12" customHeight="1">
      <c r="A104" s="5">
        <v>104</v>
      </c>
      <c r="B104" s="17" t="s">
        <v>98</v>
      </c>
      <c r="C104" s="18">
        <f>SQRT(E104^2+F104^2)</f>
        <v>183.42582727330006</v>
      </c>
      <c r="D104" s="19">
        <f>ATAN2(E104,F104)*180/PI()</f>
        <v>42.49396224381908</v>
      </c>
      <c r="E104" s="18">
        <f>E6+E100</f>
        <v>135.2487632879289</v>
      </c>
      <c r="F104" s="18">
        <f>F6+F100</f>
        <v>123.90644107543514</v>
      </c>
      <c r="G104" s="42" t="str">
        <f>IF(D104&gt;=0,"induktiv","kapazitiv")</f>
        <v>induktiv</v>
      </c>
      <c r="H104" s="30"/>
      <c r="I104" s="26">
        <f>D64-D113</f>
        <v>35.86982351772131</v>
      </c>
      <c r="J104" s="68"/>
    </row>
    <row r="105" spans="1:10" ht="12" customHeight="1">
      <c r="A105" s="5">
        <v>105</v>
      </c>
      <c r="B105" s="45" t="s">
        <v>4</v>
      </c>
      <c r="C105" s="48" t="s">
        <v>32</v>
      </c>
      <c r="D105" s="29" t="s">
        <v>200</v>
      </c>
      <c r="E105" s="48" t="s">
        <v>119</v>
      </c>
      <c r="F105" s="48" t="s">
        <v>120</v>
      </c>
      <c r="G105" s="12"/>
      <c r="H105" s="12"/>
      <c r="I105" s="30"/>
      <c r="J105" s="18"/>
    </row>
    <row r="106" spans="1:10" ht="12" customHeight="1">
      <c r="A106" s="5">
        <v>106</v>
      </c>
      <c r="B106" s="17" t="s">
        <v>55</v>
      </c>
      <c r="C106" s="10">
        <f>SQRT(F106^2+E106^2)</f>
        <v>346.23548142014187</v>
      </c>
      <c r="D106" s="9">
        <f>ATAN2(E106,F106)*180/PI()</f>
        <v>-42.49396224381908</v>
      </c>
      <c r="E106" s="10">
        <f>COS((D44-D104)/180*PI())*C44/C104</f>
        <v>255.29622171856096</v>
      </c>
      <c r="F106" s="10">
        <f>SIN((D44-D104)/180*PI())*C44/C104</f>
        <v>-233.88639928491946</v>
      </c>
      <c r="G106" s="42" t="str">
        <f>IF(F106&gt;=0,"voreilend","nacheilend")</f>
        <v>nacheilend</v>
      </c>
      <c r="H106" s="44" t="s">
        <v>133</v>
      </c>
      <c r="I106" s="19"/>
      <c r="J106" s="30"/>
    </row>
    <row r="107" spans="1:10" ht="12" customHeight="1">
      <c r="A107" s="5">
        <v>107</v>
      </c>
      <c r="B107" s="17" t="s">
        <v>10</v>
      </c>
      <c r="C107" s="18">
        <f>SQRT(E107^2+F107^2)</f>
        <v>119879.00859423741</v>
      </c>
      <c r="D107" s="18">
        <f>ATAN2(E107,F107)*180/PI()</f>
        <v>-84.98792448763815</v>
      </c>
      <c r="E107" s="18">
        <f>COS((D106+D106)/180*PI())*C106*C106</f>
        <v>10473.313053307851</v>
      </c>
      <c r="F107" s="18">
        <f>SIN((D106+D106)/180*PI())*C106*C106</f>
        <v>-119420.62809759736</v>
      </c>
      <c r="G107" s="30"/>
      <c r="H107" s="30"/>
      <c r="I107" s="30"/>
      <c r="J107" s="30"/>
    </row>
    <row r="108" spans="1:10" ht="12" customHeight="1">
      <c r="A108" s="5">
        <v>108</v>
      </c>
      <c r="B108" s="17"/>
      <c r="C108" s="18"/>
      <c r="D108" s="18"/>
      <c r="E108" s="18"/>
      <c r="F108" s="18"/>
      <c r="G108" s="30"/>
      <c r="H108" s="30"/>
      <c r="I108" s="30"/>
      <c r="J108" s="30"/>
    </row>
    <row r="109" spans="1:10" ht="12" customHeight="1">
      <c r="A109" s="5">
        <v>109</v>
      </c>
      <c r="B109" s="134" t="s">
        <v>137</v>
      </c>
      <c r="C109" s="144"/>
      <c r="D109" s="144"/>
      <c r="E109" s="144"/>
      <c r="F109" s="144"/>
      <c r="G109" s="144"/>
      <c r="H109" s="144"/>
      <c r="I109" s="135"/>
      <c r="J109" s="144"/>
    </row>
    <row r="110" spans="1:10" ht="12" customHeight="1">
      <c r="A110" s="5">
        <v>110</v>
      </c>
      <c r="B110" s="11" t="s">
        <v>76</v>
      </c>
      <c r="C110" s="12" t="s">
        <v>66</v>
      </c>
      <c r="D110" s="12" t="s">
        <v>200</v>
      </c>
      <c r="E110" s="13" t="s">
        <v>119</v>
      </c>
      <c r="F110" s="13" t="s">
        <v>120</v>
      </c>
      <c r="G110" s="12" t="s">
        <v>23</v>
      </c>
      <c r="H110" s="14" t="s">
        <v>31</v>
      </c>
      <c r="I110" s="15" t="s">
        <v>109</v>
      </c>
      <c r="J110" s="16" t="s">
        <v>110</v>
      </c>
    </row>
    <row r="111" spans="1:10" ht="12" customHeight="1">
      <c r="A111" s="5">
        <v>111</v>
      </c>
      <c r="B111" s="17" t="s">
        <v>151</v>
      </c>
      <c r="C111" s="18">
        <f>SQRT(E111^2+F111^2)</f>
        <v>119.70881348273637</v>
      </c>
      <c r="D111" s="19">
        <f>ATAN2(E111,F111)*180/PI()</f>
        <v>-44.69498283895808</v>
      </c>
      <c r="E111" s="18">
        <f>COS((D82+D106)/180*PI())*C82*C106</f>
        <v>85.09633459359316</v>
      </c>
      <c r="F111" s="18">
        <f>SIN((D82+D106)/180*PI())*C82*C106</f>
        <v>-84.19509406242032</v>
      </c>
      <c r="G111" s="13">
        <f>F111/E111</f>
        <v>-0.9894091733154311</v>
      </c>
      <c r="H111" s="20">
        <f>C111/C112</f>
        <v>0.5281388851014479</v>
      </c>
      <c r="I111" s="21">
        <f>C82</f>
        <v>0.3457439225804673</v>
      </c>
      <c r="J111" s="22">
        <f>C81</f>
        <v>0.6546458371722713</v>
      </c>
    </row>
    <row r="112" spans="1:10" ht="12" customHeight="1">
      <c r="A112" s="5">
        <v>112</v>
      </c>
      <c r="B112" s="17" t="s">
        <v>152</v>
      </c>
      <c r="C112" s="18">
        <f>SQRT(E112^2+F112^2)</f>
        <v>226.66161659303316</v>
      </c>
      <c r="D112" s="19">
        <f>ATAN2(E112,F112)*180/PI()</f>
        <v>-41.331723861955226</v>
      </c>
      <c r="E112" s="18">
        <f>COS((D81+D106)/180*PI())*C81*C106</f>
        <v>170.19988712496774</v>
      </c>
      <c r="F112" s="18">
        <f>SIN((D81+D106)/180*PI())*C81*C106</f>
        <v>-149.69130522249912</v>
      </c>
      <c r="G112" s="13">
        <f>F112/E112</f>
        <v>-0.8795029641388048</v>
      </c>
      <c r="H112" s="89" t="s">
        <v>148</v>
      </c>
      <c r="I112" s="23" t="s">
        <v>169</v>
      </c>
      <c r="J112" s="24" t="s">
        <v>170</v>
      </c>
    </row>
    <row r="113" spans="1:10" ht="12" customHeight="1">
      <c r="A113" s="5">
        <v>113</v>
      </c>
      <c r="B113" s="17" t="s">
        <v>50</v>
      </c>
      <c r="C113" s="25">
        <f>SQRT(E113^2+F113^2)</f>
        <v>346.2354814201418</v>
      </c>
      <c r="D113" s="26">
        <f>ATAN2(E113,F113)*180/PI()</f>
        <v>-42.49396224381908</v>
      </c>
      <c r="E113" s="25">
        <f>E112+E111</f>
        <v>255.2962217185609</v>
      </c>
      <c r="F113" s="25">
        <f>F112+F111</f>
        <v>-233.88639928491943</v>
      </c>
      <c r="G113" s="27">
        <f>F113/E113</f>
        <v>-0.9161373314124339</v>
      </c>
      <c r="H113" s="127">
        <f>C20/C15</f>
        <v>0.6539509536784741</v>
      </c>
      <c r="I113" s="21">
        <f>J11</f>
        <v>0.24444444444444444</v>
      </c>
      <c r="J113" s="22">
        <f>J19</f>
        <v>0.3076923076923077</v>
      </c>
    </row>
    <row r="114" spans="1:10" ht="12" customHeight="1">
      <c r="A114" s="5">
        <v>114</v>
      </c>
      <c r="B114" s="17"/>
      <c r="C114" s="25"/>
      <c r="D114" s="26"/>
      <c r="E114" s="25"/>
      <c r="F114" s="25"/>
      <c r="G114" s="27"/>
      <c r="H114" s="25"/>
      <c r="I114" s="124"/>
      <c r="J114" s="124"/>
    </row>
    <row r="115" spans="1:10" ht="12" customHeight="1">
      <c r="A115" s="5">
        <v>115</v>
      </c>
      <c r="B115" s="11" t="s">
        <v>141</v>
      </c>
      <c r="C115" s="28" t="s">
        <v>66</v>
      </c>
      <c r="D115" s="29" t="s">
        <v>200</v>
      </c>
      <c r="E115" s="28" t="s">
        <v>119</v>
      </c>
      <c r="F115" s="28" t="s">
        <v>120</v>
      </c>
      <c r="G115" s="29" t="s">
        <v>23</v>
      </c>
      <c r="H115" s="161" t="s">
        <v>58</v>
      </c>
      <c r="I115" s="15" t="s">
        <v>109</v>
      </c>
      <c r="J115" s="16" t="s">
        <v>110</v>
      </c>
    </row>
    <row r="116" spans="1:10" ht="12" customHeight="1">
      <c r="A116" s="5">
        <v>116</v>
      </c>
      <c r="B116" s="17" t="s">
        <v>99</v>
      </c>
      <c r="C116" s="18">
        <f>SQRT(E116^2+F116^2)</f>
        <v>136.89706019906762</v>
      </c>
      <c r="D116" s="19">
        <f>ATAN2(E116,F116)*180/PI()</f>
        <v>-42.49396224381908</v>
      </c>
      <c r="E116" s="18">
        <f>COS((D90+D106)/180*PI())*C90*C106</f>
        <v>100.94084549004057</v>
      </c>
      <c r="F116" s="18">
        <f>SIN((D90+D106)/180*PI())*C90*C106</f>
        <v>-92.47567681776057</v>
      </c>
      <c r="G116" s="13">
        <f>F116/E116</f>
        <v>-0.9161373314124338</v>
      </c>
      <c r="H116" s="90">
        <f>C116/C117</f>
        <v>0.6539509536784741</v>
      </c>
      <c r="I116" s="21">
        <f>C90</f>
        <v>0.3953871499176277</v>
      </c>
      <c r="J116" s="21">
        <f>C89</f>
        <v>0.6046128500823723</v>
      </c>
    </row>
    <row r="117" spans="1:10" ht="12" customHeight="1">
      <c r="A117" s="5">
        <v>117</v>
      </c>
      <c r="B117" s="17" t="s">
        <v>100</v>
      </c>
      <c r="C117" s="18">
        <f>SQRT(E117^2+F117^2)</f>
        <v>209.33842122107424</v>
      </c>
      <c r="D117" s="19">
        <f>ATAN2(E117,F117)*180/PI()</f>
        <v>-42.49396224381908</v>
      </c>
      <c r="E117" s="18">
        <f>COS((D89+D106)/180*PI())*C89*C106</f>
        <v>154.35537622852038</v>
      </c>
      <c r="F117" s="18">
        <f>SIN((D89+D106)/180*PI())*C89*C106</f>
        <v>-141.41072246715888</v>
      </c>
      <c r="G117" s="13">
        <f>F117/E117</f>
        <v>-0.9161373314124337</v>
      </c>
      <c r="H117" s="33" t="s">
        <v>73</v>
      </c>
      <c r="I117" s="23" t="s">
        <v>153</v>
      </c>
      <c r="J117" s="23" t="s">
        <v>154</v>
      </c>
    </row>
    <row r="118" spans="1:10" ht="12" customHeight="1">
      <c r="A118" s="5">
        <v>118</v>
      </c>
      <c r="B118" s="17" t="s">
        <v>51</v>
      </c>
      <c r="C118" s="25">
        <f>SQRT(E118^2+F118^2)</f>
        <v>346.23548142014187</v>
      </c>
      <c r="D118" s="26">
        <f>ATAN2(E118,F118)*180/PI()</f>
        <v>-42.49396224381908</v>
      </c>
      <c r="E118" s="25">
        <f>E117+E116</f>
        <v>255.29622171856096</v>
      </c>
      <c r="F118" s="25">
        <f>F117+F116</f>
        <v>-233.88639928491943</v>
      </c>
      <c r="G118" s="27">
        <f>F118/E118</f>
        <v>-0.9161373314124337</v>
      </c>
      <c r="H118" s="32">
        <f>C122/C123</f>
        <v>0.6500000000000001</v>
      </c>
      <c r="I118" s="21">
        <f>C122/C124</f>
        <v>0.39393939393939403</v>
      </c>
      <c r="J118" s="21">
        <f>C123/C124</f>
        <v>0.6060606060606061</v>
      </c>
    </row>
    <row r="119" spans="1:10" ht="12" customHeight="1">
      <c r="A119" s="5">
        <v>119</v>
      </c>
      <c r="B119" s="17"/>
      <c r="C119" s="25"/>
      <c r="D119" s="26"/>
      <c r="E119" s="25"/>
      <c r="F119" s="25"/>
      <c r="G119" s="27"/>
      <c r="H119" s="125"/>
      <c r="I119" s="119"/>
      <c r="J119" s="22"/>
    </row>
    <row r="120" spans="1:10" ht="12" customHeight="1">
      <c r="A120" s="5">
        <v>120</v>
      </c>
      <c r="B120" s="17"/>
      <c r="C120" s="25"/>
      <c r="D120" s="26"/>
      <c r="E120" s="25"/>
      <c r="F120" s="25"/>
      <c r="G120" s="27"/>
      <c r="H120" s="125"/>
      <c r="I120" s="124"/>
      <c r="J120" s="202"/>
    </row>
    <row r="121" spans="1:10" ht="12" customHeight="1">
      <c r="A121" s="5">
        <v>121</v>
      </c>
      <c r="B121" s="11" t="s">
        <v>190</v>
      </c>
      <c r="C121" s="28" t="s">
        <v>66</v>
      </c>
      <c r="D121" s="29" t="s">
        <v>200</v>
      </c>
      <c r="E121" s="28" t="s">
        <v>119</v>
      </c>
      <c r="F121" s="28" t="s">
        <v>120</v>
      </c>
      <c r="G121" s="29" t="s">
        <v>23</v>
      </c>
      <c r="H121" s="82" t="s">
        <v>114</v>
      </c>
      <c r="I121" s="84" t="s">
        <v>157</v>
      </c>
      <c r="J121" s="37" t="s">
        <v>158</v>
      </c>
    </row>
    <row r="122" spans="1:10" ht="12" customHeight="1">
      <c r="A122" s="5">
        <v>122</v>
      </c>
      <c r="B122" s="17" t="s">
        <v>145</v>
      </c>
      <c r="C122" s="19">
        <f>H135*C113</f>
        <v>136.39579571096496</v>
      </c>
      <c r="D122" s="19">
        <f>D113</f>
        <v>-42.49396224381908</v>
      </c>
      <c r="E122" s="19">
        <f>COS((D122)/180*PI())*C122</f>
        <v>100.57123885882703</v>
      </c>
      <c r="F122" s="19">
        <f>SIN((D122)/180*PI())*C122</f>
        <v>-92.13706638496826</v>
      </c>
      <c r="G122" s="13">
        <f>F122/E122</f>
        <v>-0.9161373314124338</v>
      </c>
      <c r="H122" s="83"/>
      <c r="I122" s="91">
        <f>E138</f>
        <v>825.6599442000004</v>
      </c>
      <c r="J122" s="92">
        <f>F138</f>
        <v>914.7089606000001</v>
      </c>
    </row>
    <row r="123" spans="1:10" ht="12" customHeight="1">
      <c r="A123" s="5">
        <v>123</v>
      </c>
      <c r="B123" s="17" t="s">
        <v>146</v>
      </c>
      <c r="C123" s="19">
        <f>I135*C113</f>
        <v>209.83968570917682</v>
      </c>
      <c r="D123" s="19">
        <f>D113</f>
        <v>-42.49396224381908</v>
      </c>
      <c r="E123" s="19">
        <f>COS((D123)/180*PI())*C123</f>
        <v>154.72498285973384</v>
      </c>
      <c r="F123" s="19">
        <f>SIN((D123)/180*PI())*C123</f>
        <v>-141.74933289995113</v>
      </c>
      <c r="G123" s="13">
        <f>F123/E123</f>
        <v>-0.9161373314124338</v>
      </c>
      <c r="H123" s="64"/>
      <c r="I123" s="64"/>
      <c r="J123" s="64"/>
    </row>
    <row r="124" spans="1:10" ht="12" customHeight="1">
      <c r="A124" s="5">
        <v>124</v>
      </c>
      <c r="B124" s="17" t="s">
        <v>171</v>
      </c>
      <c r="C124" s="25">
        <f>SQRT(E124^2+F124^2)</f>
        <v>346.23548142014175</v>
      </c>
      <c r="D124" s="26">
        <f>ATAN2(E124,F124)*180/PI()</f>
        <v>-42.49396224381908</v>
      </c>
      <c r="E124" s="25">
        <f>E122+E123</f>
        <v>255.29622171856087</v>
      </c>
      <c r="F124" s="25">
        <f>F123+F122</f>
        <v>-233.88639928491938</v>
      </c>
      <c r="G124" s="27">
        <f>F124/E124</f>
        <v>-0.9161373314124338</v>
      </c>
      <c r="H124" s="64"/>
      <c r="I124" s="64"/>
      <c r="J124" s="64"/>
    </row>
    <row r="125" spans="1:10" ht="12" customHeight="1">
      <c r="A125" s="5">
        <v>125</v>
      </c>
      <c r="B125" s="17"/>
      <c r="C125" s="25"/>
      <c r="D125" s="26"/>
      <c r="E125" s="25"/>
      <c r="F125" s="25"/>
      <c r="G125" s="27"/>
      <c r="H125" s="64"/>
      <c r="I125" s="64"/>
      <c r="J125" s="64"/>
    </row>
    <row r="126" spans="1:10" ht="12" customHeight="1">
      <c r="A126" s="5">
        <v>126</v>
      </c>
      <c r="B126" s="11" t="s">
        <v>191</v>
      </c>
      <c r="C126" s="28" t="s">
        <v>66</v>
      </c>
      <c r="D126" s="29" t="s">
        <v>200</v>
      </c>
      <c r="E126" s="28" t="s">
        <v>119</v>
      </c>
      <c r="F126" s="28" t="s">
        <v>120</v>
      </c>
      <c r="G126" s="34" t="s">
        <v>23</v>
      </c>
      <c r="H126" s="33" t="s">
        <v>73</v>
      </c>
      <c r="I126" s="23" t="s">
        <v>153</v>
      </c>
      <c r="J126" s="23" t="s">
        <v>154</v>
      </c>
    </row>
    <row r="127" spans="1:10" ht="12" customHeight="1">
      <c r="A127" s="5">
        <v>127</v>
      </c>
      <c r="B127" s="17" t="s">
        <v>215</v>
      </c>
      <c r="C127" s="19">
        <f>SQRT(E127^2+F127^2)</f>
        <v>136.2926717382104</v>
      </c>
      <c r="D127" s="19">
        <f>ATAN2(E127,F127)*180/PI()</f>
        <v>-42.499406127355755</v>
      </c>
      <c r="E127" s="19">
        <f>E111+E135</f>
        <v>100.48645243193505</v>
      </c>
      <c r="F127" s="19">
        <f>F111+F135</f>
        <v>-92.07695285566325</v>
      </c>
      <c r="G127" s="13">
        <f>F127/E127</f>
        <v>-0.9163121060327211</v>
      </c>
      <c r="H127" s="32">
        <f>C127/C128</f>
        <v>0.6491895163546861</v>
      </c>
      <c r="I127" s="21">
        <f>C127/C129</f>
        <v>0.39364155048230054</v>
      </c>
      <c r="J127" s="21">
        <f>C128/C129</f>
        <v>0.6063584524480116</v>
      </c>
    </row>
    <row r="128" spans="1:10" ht="12" customHeight="1">
      <c r="A128" s="5">
        <v>128</v>
      </c>
      <c r="B128" s="17" t="s">
        <v>175</v>
      </c>
      <c r="C128" s="19">
        <f>SQRT(E128^2+F128^2)</f>
        <v>209.94281069650947</v>
      </c>
      <c r="D128" s="19">
        <f>ATAN2(E128,F128)*180/PI()</f>
        <v>-42.49042813170189</v>
      </c>
      <c r="E128" s="19">
        <f>E112-E135</f>
        <v>154.80976928662585</v>
      </c>
      <c r="F128" s="19">
        <f>F112-F135</f>
        <v>-141.8094464292562</v>
      </c>
      <c r="G128" s="13">
        <f>F128/E128</f>
        <v>-0.9160238858485739</v>
      </c>
      <c r="H128" s="82" t="s">
        <v>159</v>
      </c>
      <c r="I128" s="84" t="s">
        <v>157</v>
      </c>
      <c r="J128" s="37" t="s">
        <v>158</v>
      </c>
    </row>
    <row r="129" spans="1:10" ht="12" customHeight="1">
      <c r="A129" s="5">
        <v>129</v>
      </c>
      <c r="B129" s="17" t="s">
        <v>172</v>
      </c>
      <c r="C129" s="25">
        <f>SQRT(E129^2+F129^2)</f>
        <v>346.23548142014187</v>
      </c>
      <c r="D129" s="26">
        <f>ATAN2(E129,F129)*180/PI()</f>
        <v>-42.493962243819084</v>
      </c>
      <c r="E129" s="25">
        <f>E127+E128</f>
        <v>255.2962217185609</v>
      </c>
      <c r="F129" s="25">
        <f>F128+F127</f>
        <v>-233.88639928491946</v>
      </c>
      <c r="G129" s="27">
        <f>F129/E129</f>
        <v>-0.916137331412434</v>
      </c>
      <c r="H129" s="83"/>
      <c r="I129" s="91">
        <f>I8</f>
        <v>820</v>
      </c>
      <c r="J129" s="92">
        <f>J8</f>
        <v>910</v>
      </c>
    </row>
    <row r="130" spans="1:10" ht="12" customHeight="1">
      <c r="A130" s="5">
        <v>130</v>
      </c>
      <c r="B130" s="17"/>
      <c r="C130" s="25"/>
      <c r="D130" s="26"/>
      <c r="E130" s="25"/>
      <c r="F130" s="25"/>
      <c r="G130" s="27"/>
      <c r="H130" s="83"/>
      <c r="I130" s="30"/>
      <c r="J130" s="30"/>
    </row>
    <row r="131" spans="1:10" ht="12" customHeight="1">
      <c r="A131" s="5">
        <v>131</v>
      </c>
      <c r="B131" s="134" t="s">
        <v>155</v>
      </c>
      <c r="C131" s="144"/>
      <c r="D131" s="144"/>
      <c r="E131" s="144"/>
      <c r="F131" s="144"/>
      <c r="G131" s="144"/>
      <c r="H131" s="144" t="s">
        <v>156</v>
      </c>
      <c r="I131" s="135"/>
      <c r="J131" s="144"/>
    </row>
    <row r="132" spans="1:10" ht="12" customHeight="1">
      <c r="A132" s="5">
        <v>132</v>
      </c>
      <c r="B132" s="51" t="s">
        <v>112</v>
      </c>
      <c r="C132" s="13" t="s">
        <v>32</v>
      </c>
      <c r="D132" s="12" t="s">
        <v>200</v>
      </c>
      <c r="E132" s="13" t="s">
        <v>119</v>
      </c>
      <c r="F132" s="13" t="s">
        <v>120</v>
      </c>
      <c r="G132" s="12" t="s">
        <v>23</v>
      </c>
      <c r="H132" s="52" t="s">
        <v>73</v>
      </c>
      <c r="I132" s="15" t="s">
        <v>173</v>
      </c>
      <c r="J132" s="15" t="s">
        <v>174</v>
      </c>
    </row>
    <row r="133" spans="1:10" ht="12" customHeight="1">
      <c r="A133" s="5">
        <v>133</v>
      </c>
      <c r="B133" s="41" t="s">
        <v>176</v>
      </c>
      <c r="C133" s="19">
        <f>SQRT(E133^2+F133^2)</f>
        <v>17.39389023453063</v>
      </c>
      <c r="D133" s="19">
        <f>ATAN2(E133,F133)*180/PI()</f>
        <v>-27.16763114633599</v>
      </c>
      <c r="E133" s="19">
        <f>ROUND((E122-E111),5)</f>
        <v>15.4749</v>
      </c>
      <c r="F133" s="19">
        <f>ROUND((F122-F111),5)</f>
        <v>-7.94197</v>
      </c>
      <c r="G133" s="13">
        <f>F133/E133</f>
        <v>-0.5132162404926688</v>
      </c>
      <c r="H133" s="93">
        <v>0.65</v>
      </c>
      <c r="I133" s="93">
        <f>G113</f>
        <v>-0.9161373314124339</v>
      </c>
      <c r="J133" s="36">
        <f>(ATAN(I133)*180/PI())</f>
        <v>-42.49396224381908</v>
      </c>
    </row>
    <row r="134" spans="1:10" ht="12" customHeight="1">
      <c r="A134" s="5">
        <v>134</v>
      </c>
      <c r="B134" s="53" t="s">
        <v>177</v>
      </c>
      <c r="C134" s="19">
        <f>SQRT(E134^2+F134^2)</f>
        <v>17.39389023453063</v>
      </c>
      <c r="D134" s="19">
        <f>ATAN2(E134,F134)*180/PI()</f>
        <v>152.832368853664</v>
      </c>
      <c r="E134" s="19">
        <f>ROUND((E123-E112),5)</f>
        <v>-15.4749</v>
      </c>
      <c r="F134" s="19">
        <f>ROUND((F123-F112),5)</f>
        <v>7.94197</v>
      </c>
      <c r="G134" s="13">
        <f>F134/E134</f>
        <v>-0.5132162404926688</v>
      </c>
      <c r="H134" s="23" t="s">
        <v>153</v>
      </c>
      <c r="I134" s="23" t="s">
        <v>154</v>
      </c>
      <c r="J134" s="54"/>
    </row>
    <row r="135" spans="1:10" ht="12" customHeight="1">
      <c r="A135" s="5">
        <v>135</v>
      </c>
      <c r="B135" s="40" t="s">
        <v>163</v>
      </c>
      <c r="C135" s="87">
        <f>C72</f>
        <v>17.291021517384976</v>
      </c>
      <c r="D135" s="87">
        <f>D72</f>
        <v>-27.118694813214677</v>
      </c>
      <c r="E135" s="87">
        <f>E72</f>
        <v>15.390117838341896</v>
      </c>
      <c r="F135" s="87">
        <f>F72</f>
        <v>-7.881858793242922</v>
      </c>
      <c r="G135" s="95">
        <f>F135/E135</f>
        <v>-0.5121376506687034</v>
      </c>
      <c r="H135" s="21">
        <f>H133/(H133+1)</f>
        <v>0.393939393939394</v>
      </c>
      <c r="I135" s="21">
        <f>1-H135</f>
        <v>0.606060606060606</v>
      </c>
      <c r="J135" s="35"/>
    </row>
    <row r="136" spans="1:10" ht="12" customHeight="1">
      <c r="A136" s="5">
        <v>136</v>
      </c>
      <c r="B136" s="64"/>
      <c r="C136" s="64"/>
      <c r="D136" s="64"/>
      <c r="E136" s="64"/>
      <c r="F136" s="64"/>
      <c r="G136" s="64"/>
      <c r="H136" s="64"/>
      <c r="I136" s="64"/>
      <c r="J136" s="64"/>
    </row>
    <row r="137" spans="1:10" ht="12" customHeight="1">
      <c r="A137" s="5">
        <v>137</v>
      </c>
      <c r="B137" s="56" t="s">
        <v>113</v>
      </c>
      <c r="C137" s="119" t="s">
        <v>111</v>
      </c>
      <c r="D137" s="31" t="s">
        <v>200</v>
      </c>
      <c r="E137" s="166" t="s">
        <v>117</v>
      </c>
      <c r="F137" s="196" t="s">
        <v>118</v>
      </c>
      <c r="G137" s="64"/>
      <c r="H137" s="30"/>
      <c r="I137" s="30"/>
      <c r="J137" s="31" t="s">
        <v>200</v>
      </c>
    </row>
    <row r="138" spans="1:10" ht="12" customHeight="1">
      <c r="A138" s="5">
        <v>138</v>
      </c>
      <c r="B138" s="41" t="s">
        <v>178</v>
      </c>
      <c r="C138" s="97">
        <f>SQRT(E138^2+F138^2)</f>
        <v>1232.2365138471916</v>
      </c>
      <c r="D138" s="97">
        <f>ATAN2(E138,F138)*180/PI()</f>
        <v>47.929084318828444</v>
      </c>
      <c r="E138" s="197">
        <f>COS((D70+D133)/180*PI())*C70*C133</f>
        <v>825.6599442000004</v>
      </c>
      <c r="F138" s="198">
        <f>SIN((D70+D133)/180*PI())*C133*C70</f>
        <v>914.7089606000001</v>
      </c>
      <c r="G138" s="64"/>
      <c r="H138" s="30"/>
      <c r="I138" s="121" t="s">
        <v>186</v>
      </c>
      <c r="J138" s="122">
        <f>D138-D133</f>
        <v>75.09671546516444</v>
      </c>
    </row>
    <row r="139" spans="1:10" ht="12" customHeight="1">
      <c r="A139" s="5">
        <v>139</v>
      </c>
      <c r="B139" s="41" t="s">
        <v>179</v>
      </c>
      <c r="C139" s="57">
        <f>SQRT(E139^2+F139^2)</f>
        <v>1232.2365138471916</v>
      </c>
      <c r="D139" s="57">
        <f>ATAN2(E139,F139)*180/PI()</f>
        <v>-132.07091568117158</v>
      </c>
      <c r="E139" s="167">
        <f>COS((D70+D134)/180*PI())*C70*C134</f>
        <v>-825.6599442000006</v>
      </c>
      <c r="F139" s="199">
        <f>SIN((D70+D134)/180*PI())*C134*C70</f>
        <v>-914.7089605999998</v>
      </c>
      <c r="G139" s="96"/>
      <c r="I139" s="162" t="s">
        <v>187</v>
      </c>
      <c r="J139" s="163">
        <f>D57-D49</f>
        <v>0.8104597163977671</v>
      </c>
    </row>
    <row r="140" spans="1:10" ht="12" customHeight="1">
      <c r="A140" s="5">
        <v>140</v>
      </c>
      <c r="B140" s="17" t="s">
        <v>199</v>
      </c>
      <c r="C140" s="117">
        <f>C139/C44*100</f>
        <v>1.9402693172044418</v>
      </c>
      <c r="D140" s="30"/>
      <c r="E140" s="200" t="s">
        <v>161</v>
      </c>
      <c r="F140" s="201" t="s">
        <v>162</v>
      </c>
      <c r="G140" s="58"/>
      <c r="H140" s="30"/>
      <c r="I140" s="30"/>
      <c r="J140" s="30"/>
    </row>
    <row r="141" spans="1:10" ht="12" customHeight="1">
      <c r="A141" s="5">
        <v>141</v>
      </c>
      <c r="B141" s="17"/>
      <c r="C141" s="17"/>
      <c r="D141" s="30"/>
      <c r="E141" s="30"/>
      <c r="F141" s="30"/>
      <c r="G141" s="30"/>
      <c r="H141" s="30"/>
      <c r="I141" s="30"/>
      <c r="J141" s="30"/>
    </row>
    <row r="142" spans="1:10" ht="12" customHeight="1">
      <c r="A142" s="5">
        <v>142</v>
      </c>
      <c r="B142" s="134" t="s">
        <v>62</v>
      </c>
      <c r="C142" s="144"/>
      <c r="D142" s="144"/>
      <c r="E142" s="144"/>
      <c r="F142" s="144"/>
      <c r="G142" s="144"/>
      <c r="H142" s="144"/>
      <c r="I142" s="135"/>
      <c r="J142" s="144"/>
    </row>
    <row r="143" spans="1:10" ht="12" customHeight="1">
      <c r="A143" s="5">
        <v>143</v>
      </c>
      <c r="B143" s="45" t="s">
        <v>63</v>
      </c>
      <c r="C143" s="12" t="s">
        <v>27</v>
      </c>
      <c r="D143" s="12" t="s">
        <v>28</v>
      </c>
      <c r="E143" s="12" t="s">
        <v>74</v>
      </c>
      <c r="F143" s="12" t="s">
        <v>75</v>
      </c>
      <c r="G143" s="42"/>
      <c r="H143" s="30"/>
      <c r="I143" s="102" t="s">
        <v>148</v>
      </c>
      <c r="J143" s="103">
        <f>H113</f>
        <v>0.6539509536784741</v>
      </c>
    </row>
    <row r="144" spans="1:10" ht="12" customHeight="1">
      <c r="A144" s="5">
        <v>144</v>
      </c>
      <c r="B144" s="30"/>
      <c r="C144" s="18">
        <f>C111^2</f>
        <v>14330.200025444567</v>
      </c>
      <c r="D144" s="18">
        <f>C112^2</f>
        <v>51375.48843656717</v>
      </c>
      <c r="E144" s="18">
        <f>C127^2</f>
        <v>18575.692369539578</v>
      </c>
      <c r="F144" s="18">
        <f>C128^2</f>
        <v>44075.98376315041</v>
      </c>
      <c r="G144" s="42"/>
      <c r="H144" s="30"/>
      <c r="I144" s="75" t="s">
        <v>35</v>
      </c>
      <c r="J144" s="27">
        <f>E147/E153</f>
        <v>0.426531501158023</v>
      </c>
    </row>
    <row r="145" spans="1:10" ht="12" customHeight="1">
      <c r="A145" s="5">
        <v>145</v>
      </c>
      <c r="B145" s="40" t="s">
        <v>134</v>
      </c>
      <c r="C145" s="26">
        <f>(C66-C46)/C46*100</f>
        <v>1.2876317529624286</v>
      </c>
      <c r="D145" s="12"/>
      <c r="F145" s="12"/>
      <c r="H145" s="30"/>
      <c r="I145" s="75" t="s">
        <v>78</v>
      </c>
      <c r="J145" s="27">
        <f>E148/E154</f>
        <v>0.6444627472048046</v>
      </c>
    </row>
    <row r="146" spans="1:10" ht="12" customHeight="1">
      <c r="A146" s="5">
        <v>146</v>
      </c>
      <c r="B146" s="11" t="s">
        <v>7</v>
      </c>
      <c r="C146" s="48" t="s">
        <v>60</v>
      </c>
      <c r="D146" s="73" t="s">
        <v>195</v>
      </c>
      <c r="E146" s="166" t="s">
        <v>61</v>
      </c>
      <c r="F146" s="73" t="s">
        <v>197</v>
      </c>
      <c r="G146" s="166" t="s">
        <v>198</v>
      </c>
      <c r="H146" s="73" t="s">
        <v>196</v>
      </c>
      <c r="I146" s="75" t="s">
        <v>34</v>
      </c>
      <c r="J146" s="27">
        <f>C147/C153</f>
        <v>0.5277798169270524</v>
      </c>
    </row>
    <row r="147" spans="1:10" ht="12" customHeight="1">
      <c r="A147" s="5">
        <v>147</v>
      </c>
      <c r="B147" s="17" t="s">
        <v>184</v>
      </c>
      <c r="C147" s="57">
        <f>C144*C14/1000</f>
        <v>663.8456461579104</v>
      </c>
      <c r="D147" s="31"/>
      <c r="E147" s="104">
        <f>C144*C15/1000</f>
        <v>157.77550228014465</v>
      </c>
      <c r="F147" s="12"/>
      <c r="G147" s="104">
        <f>C144*C16/1000</f>
        <v>645.2889071457689</v>
      </c>
      <c r="H147" s="17"/>
      <c r="I147" s="75" t="s">
        <v>77</v>
      </c>
      <c r="J147" s="27">
        <f>C148/C154</f>
        <v>0.7974426972277544</v>
      </c>
    </row>
    <row r="148" spans="1:10" ht="12" customHeight="1">
      <c r="A148" s="5">
        <v>148</v>
      </c>
      <c r="B148" s="45" t="s">
        <v>181</v>
      </c>
      <c r="C148" s="99">
        <f>E144*C14/1000</f>
        <v>860.5178212440904</v>
      </c>
      <c r="D148" s="100"/>
      <c r="E148" s="167">
        <f>E144*C15/1000</f>
        <v>204.51837298863074</v>
      </c>
      <c r="F148" s="101"/>
      <c r="G148" s="167">
        <f>E144*C16/1000</f>
        <v>836.4634274003672</v>
      </c>
      <c r="H148" s="64"/>
      <c r="I148" s="64"/>
      <c r="J148" s="64"/>
    </row>
    <row r="149" spans="1:10" ht="12" customHeight="1">
      <c r="A149" s="5">
        <v>149</v>
      </c>
      <c r="B149" s="17" t="s">
        <v>142</v>
      </c>
      <c r="C149" s="57">
        <f>C148-C147</f>
        <v>196.67217508618</v>
      </c>
      <c r="D149" s="57"/>
      <c r="E149" s="104">
        <f>E148-E147</f>
        <v>46.742870708486095</v>
      </c>
      <c r="F149" s="31"/>
      <c r="G149" s="104">
        <f>G148-G147</f>
        <v>191.1745202545983</v>
      </c>
      <c r="H149" s="165" t="str">
        <f>IF((E149&lt;0),"Reduzierung Belastung","höhere Belastung (Erwärmung)")</f>
        <v>höhere Belastung (Erwärmung)</v>
      </c>
      <c r="I149" s="64"/>
      <c r="J149" s="64"/>
    </row>
    <row r="150" spans="1:10" ht="12" customHeight="1">
      <c r="A150" s="5">
        <v>150</v>
      </c>
      <c r="B150" s="17" t="s">
        <v>64</v>
      </c>
      <c r="C150" s="81">
        <f>C149*100/C147</f>
        <v>29.626190398994822</v>
      </c>
      <c r="D150" s="79"/>
      <c r="E150" s="168">
        <f>E149*100/E147</f>
        <v>29.62619039899484</v>
      </c>
      <c r="F150" s="80"/>
      <c r="G150" s="168">
        <f>G149*100/G147</f>
        <v>29.626190398994805</v>
      </c>
      <c r="H150" s="64"/>
      <c r="I150" s="64"/>
      <c r="J150" s="64"/>
    </row>
    <row r="151" spans="1:10" ht="12" customHeight="1">
      <c r="A151" s="5">
        <v>151</v>
      </c>
      <c r="B151" s="30"/>
      <c r="D151" s="12"/>
      <c r="E151" s="169"/>
      <c r="F151" s="12"/>
      <c r="G151" s="169"/>
      <c r="H151" s="31"/>
      <c r="I151" s="64"/>
      <c r="J151" s="64"/>
    </row>
    <row r="152" spans="1:10" ht="12" customHeight="1">
      <c r="A152" s="5">
        <v>152</v>
      </c>
      <c r="B152" s="11" t="s">
        <v>8</v>
      </c>
      <c r="C152" s="48" t="s">
        <v>60</v>
      </c>
      <c r="D152" s="73" t="s">
        <v>195</v>
      </c>
      <c r="E152" s="166" t="s">
        <v>61</v>
      </c>
      <c r="F152" s="73" t="s">
        <v>197</v>
      </c>
      <c r="G152" s="166" t="s">
        <v>198</v>
      </c>
      <c r="H152" s="73" t="s">
        <v>196</v>
      </c>
      <c r="I152" s="64"/>
      <c r="J152" s="64"/>
    </row>
    <row r="153" spans="1:11" ht="12" customHeight="1">
      <c r="A153" s="5">
        <v>153</v>
      </c>
      <c r="B153" s="17" t="s">
        <v>184</v>
      </c>
      <c r="C153" s="57">
        <f>D144*C22/1000</f>
        <v>1257.8079435153247</v>
      </c>
      <c r="D153" s="57"/>
      <c r="E153" s="104">
        <f>D144*C20/1000</f>
        <v>369.9035167432836</v>
      </c>
      <c r="F153" s="12"/>
      <c r="G153" s="104">
        <f>D144*C21/1000</f>
        <v>1202.1864294156717</v>
      </c>
      <c r="H153" s="64"/>
      <c r="I153" s="64"/>
      <c r="J153" s="64"/>
      <c r="K153" s="6"/>
    </row>
    <row r="154" spans="1:10" ht="12" customHeight="1">
      <c r="A154" s="5">
        <v>154</v>
      </c>
      <c r="B154" s="45" t="s">
        <v>181</v>
      </c>
      <c r="C154" s="99">
        <f>F144*C22/1000</f>
        <v>1079.0967479363867</v>
      </c>
      <c r="D154" s="99"/>
      <c r="E154" s="167">
        <f>F144*C20/1000</f>
        <v>317.34708309468294</v>
      </c>
      <c r="F154" s="101"/>
      <c r="G154" s="167">
        <f>F144*C21/1000</f>
        <v>1031.3780200577196</v>
      </c>
      <c r="I154" s="30"/>
      <c r="J154" s="30"/>
    </row>
    <row r="155" spans="1:9" ht="12" customHeight="1">
      <c r="A155" s="5">
        <v>155</v>
      </c>
      <c r="B155" s="17" t="s">
        <v>142</v>
      </c>
      <c r="C155" s="57">
        <f>C154-C153</f>
        <v>-178.71119557893803</v>
      </c>
      <c r="D155" s="57"/>
      <c r="E155" s="104">
        <f>E154-E153</f>
        <v>-52.55643364860066</v>
      </c>
      <c r="F155" s="61"/>
      <c r="G155" s="104">
        <f>G154-G153</f>
        <v>-170.8084093579521</v>
      </c>
      <c r="H155" s="60" t="str">
        <f>IF((E155&lt;0),"Reduzierung der Belastung","höhere Belastung (Erwärmung)")</f>
        <v>Reduzierung der Belastung</v>
      </c>
      <c r="I155" s="74"/>
    </row>
    <row r="156" spans="1:10" ht="12" customHeight="1">
      <c r="A156" s="5">
        <v>156</v>
      </c>
      <c r="B156" s="17" t="s">
        <v>64</v>
      </c>
      <c r="C156" s="81">
        <f>C155*100/C153</f>
        <v>-14.208146521914589</v>
      </c>
      <c r="D156" s="79"/>
      <c r="E156" s="168">
        <f>E155*100/E153</f>
        <v>-14.208146521914605</v>
      </c>
      <c r="F156" s="80"/>
      <c r="G156" s="168">
        <f>G155*100/G153</f>
        <v>-14.2081465219146</v>
      </c>
      <c r="H156" s="30"/>
      <c r="I156" s="64"/>
      <c r="J156" s="30"/>
    </row>
    <row r="157" spans="1:10" ht="12" customHeight="1">
      <c r="A157" s="5">
        <v>157</v>
      </c>
      <c r="B157" s="30"/>
      <c r="D157" s="12"/>
      <c r="E157" s="169"/>
      <c r="F157" s="12"/>
      <c r="G157" s="169"/>
      <c r="H157" s="30"/>
      <c r="I157" s="64"/>
      <c r="J157" s="64"/>
    </row>
    <row r="158" spans="1:10" ht="12" customHeight="1">
      <c r="A158" s="5">
        <v>158</v>
      </c>
      <c r="B158" s="11" t="s">
        <v>59</v>
      </c>
      <c r="C158" s="48" t="s">
        <v>60</v>
      </c>
      <c r="D158" s="73" t="s">
        <v>195</v>
      </c>
      <c r="E158" s="166" t="s">
        <v>61</v>
      </c>
      <c r="F158" s="73" t="s">
        <v>197</v>
      </c>
      <c r="G158" s="166" t="s">
        <v>198</v>
      </c>
      <c r="H158" s="73" t="s">
        <v>196</v>
      </c>
      <c r="I158" s="64"/>
      <c r="J158" s="64"/>
    </row>
    <row r="159" spans="1:10" ht="12" customHeight="1">
      <c r="A159" s="5">
        <v>159</v>
      </c>
      <c r="B159" s="17" t="s">
        <v>184</v>
      </c>
      <c r="C159" s="18">
        <f>C147+C153</f>
        <v>1921.6535896732353</v>
      </c>
      <c r="D159" s="18"/>
      <c r="E159" s="104">
        <f>E147+E153</f>
        <v>527.6790190234283</v>
      </c>
      <c r="F159" s="12"/>
      <c r="G159" s="104">
        <f>G147+G153</f>
        <v>1847.4753365614406</v>
      </c>
      <c r="H159" s="71"/>
      <c r="I159" s="64"/>
      <c r="J159" s="64"/>
    </row>
    <row r="160" spans="1:10" ht="12" customHeight="1">
      <c r="A160" s="5">
        <v>160</v>
      </c>
      <c r="B160" s="45" t="s">
        <v>181</v>
      </c>
      <c r="C160" s="99">
        <f>C148+C154</f>
        <v>1939.6145691804772</v>
      </c>
      <c r="D160" s="101"/>
      <c r="E160" s="167">
        <f>E148+E154</f>
        <v>521.8654560833137</v>
      </c>
      <c r="F160" s="100"/>
      <c r="G160" s="167">
        <f>G148+G154</f>
        <v>1867.8414474580868</v>
      </c>
      <c r="H160" s="31"/>
      <c r="I160" s="64"/>
      <c r="J160" s="64"/>
    </row>
    <row r="161" spans="1:10" ht="12" customHeight="1">
      <c r="A161" s="5">
        <v>161</v>
      </c>
      <c r="B161" s="30"/>
      <c r="D161" s="12"/>
      <c r="E161" s="169"/>
      <c r="F161" s="12"/>
      <c r="G161" s="169"/>
      <c r="H161" s="164"/>
      <c r="I161" s="119"/>
      <c r="J161" s="64"/>
    </row>
    <row r="162" spans="1:10" ht="12" customHeight="1">
      <c r="A162" s="5">
        <v>162</v>
      </c>
      <c r="B162" s="11" t="s">
        <v>193</v>
      </c>
      <c r="C162" s="48" t="s">
        <v>60</v>
      </c>
      <c r="D162" s="73" t="s">
        <v>195</v>
      </c>
      <c r="E162" s="166" t="s">
        <v>61</v>
      </c>
      <c r="F162" s="73" t="s">
        <v>197</v>
      </c>
      <c r="G162" s="166" t="s">
        <v>198</v>
      </c>
      <c r="H162" s="73" t="s">
        <v>196</v>
      </c>
      <c r="I162" s="119"/>
      <c r="J162" s="64"/>
    </row>
    <row r="163" spans="1:10" ht="12" customHeight="1">
      <c r="A163" s="5">
        <v>163</v>
      </c>
      <c r="B163" s="45" t="s">
        <v>192</v>
      </c>
      <c r="C163" s="119">
        <f>C160-C159</f>
        <v>17.960979507241973</v>
      </c>
      <c r="D163" s="125"/>
      <c r="E163" s="74">
        <f>E160-E159</f>
        <v>-5.813562940114593</v>
      </c>
      <c r="F163" s="125"/>
      <c r="G163" s="74">
        <f>G160-G159</f>
        <v>20.366110896646205</v>
      </c>
      <c r="H163" s="30"/>
      <c r="I163" s="31" t="s">
        <v>185</v>
      </c>
      <c r="J163" s="14" t="s">
        <v>194</v>
      </c>
    </row>
    <row r="164" spans="1:10" ht="12" customHeight="1">
      <c r="A164" s="5">
        <v>164</v>
      </c>
      <c r="B164" s="62" t="s">
        <v>143</v>
      </c>
      <c r="C164" s="78">
        <f>(C160-C159)*100/C159</f>
        <v>0.9346627094374549</v>
      </c>
      <c r="D164" s="79"/>
      <c r="E164" s="170">
        <f>(E160-E159)*100/E159</f>
        <v>-1.1017233451642083</v>
      </c>
      <c r="F164" s="80"/>
      <c r="G164" s="170">
        <f>(G160-G159)*100/G159</f>
        <v>1.102375251977763</v>
      </c>
      <c r="H164" s="30"/>
      <c r="I164" s="29" t="s">
        <v>147</v>
      </c>
      <c r="J164" s="76" t="s">
        <v>147</v>
      </c>
    </row>
    <row r="165" spans="1:10" ht="12" customHeight="1">
      <c r="A165" s="5">
        <v>165</v>
      </c>
      <c r="B165" s="50"/>
      <c r="C165" s="50"/>
      <c r="D165" s="182" t="s">
        <v>42</v>
      </c>
      <c r="E165" s="183" t="s">
        <v>82</v>
      </c>
      <c r="F165" s="184" t="s">
        <v>142</v>
      </c>
      <c r="G165" s="50"/>
      <c r="H165" s="185" t="s">
        <v>205</v>
      </c>
      <c r="I165" s="119">
        <f>E147/C166</f>
        <v>0.3023337000866925</v>
      </c>
      <c r="J165" s="74">
        <f>E153/C166</f>
        <v>0.7088191593489898</v>
      </c>
    </row>
    <row r="166" spans="1:10" ht="12" customHeight="1">
      <c r="A166" s="5">
        <v>166</v>
      </c>
      <c r="B166" s="77" t="s">
        <v>204</v>
      </c>
      <c r="C166" s="26">
        <f>C107*C87/1000</f>
        <v>521.8588011687199</v>
      </c>
      <c r="D166" s="179">
        <f>E159-C166</f>
        <v>5.820217854708403</v>
      </c>
      <c r="E166" s="180">
        <f>E160-C166</f>
        <v>0.006654914593809735</v>
      </c>
      <c r="F166" s="181">
        <f>E166-D166</f>
        <v>-5.813562940114593</v>
      </c>
      <c r="G166" s="30"/>
      <c r="H166" s="45" t="s">
        <v>206</v>
      </c>
      <c r="I166" s="119">
        <f>E148/C166</f>
        <v>0.39190365771470204</v>
      </c>
      <c r="J166" s="74">
        <f>E154/C166</f>
        <v>0.6081090946132819</v>
      </c>
    </row>
    <row r="167" spans="1:10" ht="12" customHeight="1">
      <c r="A167" s="5">
        <v>167</v>
      </c>
      <c r="B167" s="134" t="s">
        <v>106</v>
      </c>
      <c r="C167" s="144"/>
      <c r="D167" s="144"/>
      <c r="E167" s="144"/>
      <c r="F167" s="144"/>
      <c r="G167" s="144"/>
      <c r="H167" s="144"/>
      <c r="I167" s="135"/>
      <c r="J167" s="144"/>
    </row>
    <row r="168" spans="1:10" ht="12" customHeight="1">
      <c r="A168" s="5">
        <v>168</v>
      </c>
      <c r="B168" s="11"/>
      <c r="C168" s="13" t="s">
        <v>65</v>
      </c>
      <c r="D168" s="12" t="s">
        <v>200</v>
      </c>
      <c r="E168" s="13" t="s">
        <v>117</v>
      </c>
      <c r="F168" s="13" t="s">
        <v>118</v>
      </c>
      <c r="G168" s="44"/>
      <c r="H168" s="30"/>
      <c r="I168" s="13" t="s">
        <v>65</v>
      </c>
      <c r="J168" s="12" t="s">
        <v>200</v>
      </c>
    </row>
    <row r="169" spans="1:10" ht="12" customHeight="1">
      <c r="A169" s="5">
        <v>169</v>
      </c>
      <c r="B169" s="41" t="s">
        <v>107</v>
      </c>
      <c r="C169" s="18">
        <f>C62</f>
        <v>5549.276328394394</v>
      </c>
      <c r="D169" s="19">
        <f>D62</f>
        <v>31.5655471689924</v>
      </c>
      <c r="E169" s="18">
        <f>E62</f>
        <v>4728.215729506249</v>
      </c>
      <c r="F169" s="18">
        <f>F62</f>
        <v>2904.899961122252</v>
      </c>
      <c r="G169" s="44"/>
      <c r="H169" s="30"/>
      <c r="I169" s="18">
        <f>C169*SQRT(3)</f>
        <v>9611.628546018364</v>
      </c>
      <c r="J169" s="18">
        <f>D169+30</f>
        <v>61.565547168992396</v>
      </c>
    </row>
    <row r="170" spans="1:10" ht="12" customHeight="1">
      <c r="A170" s="5">
        <v>170</v>
      </c>
      <c r="B170" s="41"/>
      <c r="C170" s="18"/>
      <c r="D170" s="19"/>
      <c r="E170" s="18"/>
      <c r="F170" s="18"/>
      <c r="G170" s="44"/>
      <c r="H170" s="30"/>
      <c r="I170" s="18"/>
      <c r="J170" s="18"/>
    </row>
    <row r="171" spans="1:10" ht="12" customHeight="1">
      <c r="A171" s="5">
        <v>171</v>
      </c>
      <c r="B171" s="41" t="s">
        <v>36</v>
      </c>
      <c r="C171" s="18">
        <f>C63</f>
        <v>5549.276328394394</v>
      </c>
      <c r="D171" s="19">
        <f>D63</f>
        <v>31.5655471689924</v>
      </c>
      <c r="E171" s="18">
        <f>E63</f>
        <v>4728.215729506248</v>
      </c>
      <c r="F171" s="18">
        <f>F63</f>
        <v>2904.899961122252</v>
      </c>
      <c r="G171" s="42"/>
      <c r="H171" s="30"/>
      <c r="I171" s="18">
        <f>C171*SQRT(3)</f>
        <v>9611.628546018364</v>
      </c>
      <c r="J171" s="18">
        <f>D171+30</f>
        <v>61.565547168992396</v>
      </c>
    </row>
    <row r="172" spans="1:10" ht="12" customHeight="1">
      <c r="A172" s="5">
        <v>172</v>
      </c>
      <c r="B172" s="41"/>
      <c r="C172" s="18"/>
      <c r="D172" s="19"/>
      <c r="E172" s="18"/>
      <c r="F172" s="18"/>
      <c r="G172" s="42"/>
      <c r="H172" s="30"/>
      <c r="I172" s="18"/>
      <c r="J172" s="18"/>
    </row>
    <row r="173" spans="1:10" ht="12" customHeight="1">
      <c r="A173" s="5">
        <v>173</v>
      </c>
      <c r="B173" s="41" t="s">
        <v>108</v>
      </c>
      <c r="C173" s="28">
        <f>SQRT(E173^2+F173^2)</f>
        <v>6318.045221620637</v>
      </c>
      <c r="D173" s="63">
        <f>ATAN2(E173,F173)*180/PI()</f>
        <v>33.761123880594724</v>
      </c>
      <c r="E173" s="28">
        <f>COS((D127+D17)/180*PI())*C127*C17</f>
        <v>5252.581028366121</v>
      </c>
      <c r="F173" s="28">
        <f>SIN((D127+D17)/180*PI())*C127*C17</f>
        <v>3511.137702069182</v>
      </c>
      <c r="G173" s="49"/>
      <c r="H173" s="50"/>
      <c r="I173" s="28">
        <f>C173*SQRT(3)</f>
        <v>10943.17532836471</v>
      </c>
      <c r="J173" s="28">
        <f>D173+30</f>
        <v>63.761123880594724</v>
      </c>
    </row>
    <row r="174" spans="1:10" ht="12" customHeight="1">
      <c r="A174" s="5">
        <v>174</v>
      </c>
      <c r="B174" s="41"/>
      <c r="C174" s="57"/>
      <c r="D174" s="71"/>
      <c r="E174" s="57"/>
      <c r="F174" s="57"/>
      <c r="G174" s="61"/>
      <c r="H174" s="64"/>
      <c r="I174" s="57"/>
      <c r="J174" s="57"/>
    </row>
    <row r="175" spans="1:10" ht="12" customHeight="1">
      <c r="A175" s="5">
        <v>175</v>
      </c>
      <c r="B175" s="41" t="s">
        <v>180</v>
      </c>
      <c r="C175" s="18">
        <f>SQRT(E175^2+F175^2)</f>
        <v>6318.045221620636</v>
      </c>
      <c r="D175" s="19">
        <f>ATAN2(E175,F175)*180/PI()</f>
        <v>33.76112388059474</v>
      </c>
      <c r="E175" s="18">
        <f>E176+E59</f>
        <v>5252.581028366119</v>
      </c>
      <c r="F175" s="18">
        <f>F176+F59</f>
        <v>3511.137702069183</v>
      </c>
      <c r="G175" s="42"/>
      <c r="H175" s="30"/>
      <c r="I175" s="18">
        <f>C175*SQRT(3)</f>
        <v>10943.175328364709</v>
      </c>
      <c r="J175" s="18">
        <f>D175+30</f>
        <v>63.76112388059474</v>
      </c>
    </row>
    <row r="176" spans="1:10" ht="12" customHeight="1">
      <c r="A176" s="5">
        <v>176</v>
      </c>
      <c r="B176" s="41" t="s">
        <v>80</v>
      </c>
      <c r="C176" s="18">
        <f>SQRT(E176^2+F176^2)</f>
        <v>5139.955706777282</v>
      </c>
      <c r="D176" s="19">
        <f>ATAN2(E176,F176)*180/PI()</f>
        <v>30.40684289924575</v>
      </c>
      <c r="E176" s="18">
        <f>COS((D128+D22)/180*PI())*C128*C22</f>
        <v>4432.9713853083</v>
      </c>
      <c r="F176" s="18">
        <f>SIN((D128+D22)/180*PI())*C128*C22</f>
        <v>2601.520587016401</v>
      </c>
      <c r="G176" s="30"/>
      <c r="H176" s="30"/>
      <c r="I176" s="18">
        <f>C176*SQRT(3)</f>
        <v>8902.664432791851</v>
      </c>
      <c r="J176" s="18">
        <f>D176+30</f>
        <v>60.406842899245746</v>
      </c>
    </row>
    <row r="177" spans="1:10" ht="12" customHeight="1">
      <c r="A177" s="5">
        <v>177</v>
      </c>
      <c r="B177" s="41"/>
      <c r="C177" s="18"/>
      <c r="D177" s="19"/>
      <c r="E177" s="18"/>
      <c r="F177" s="18"/>
      <c r="G177" s="30"/>
      <c r="H177" s="30"/>
      <c r="I177" s="18"/>
      <c r="J177" s="18"/>
    </row>
    <row r="178" spans="1:10" ht="12" customHeight="1">
      <c r="A178" s="5">
        <v>178</v>
      </c>
      <c r="B178" s="41" t="s">
        <v>81</v>
      </c>
      <c r="C178" s="63">
        <f>SQRT(E178^2+F178^2)</f>
        <v>0</v>
      </c>
      <c r="D178" s="63" t="e">
        <f>ATAN2(E178,F178)*180/PI()</f>
        <v>#DIV/0!</v>
      </c>
      <c r="E178" s="63">
        <f>ROUND((E169-E171),5)</f>
        <v>0</v>
      </c>
      <c r="F178" s="63">
        <f>ROUND((F169-F171),5)</f>
        <v>0</v>
      </c>
      <c r="G178" s="50"/>
      <c r="H178" s="50"/>
      <c r="I178" s="48" t="s">
        <v>65</v>
      </c>
      <c r="J178" s="29" t="s">
        <v>200</v>
      </c>
    </row>
    <row r="179" spans="1:10" ht="12" customHeight="1">
      <c r="A179" s="5">
        <v>179</v>
      </c>
      <c r="B179" s="41" t="s">
        <v>79</v>
      </c>
      <c r="C179" s="18">
        <f>SQRT(E179^2+F179^2)</f>
        <v>801.5504757635916</v>
      </c>
      <c r="D179" s="18">
        <f>ATAN2(E179,F179)*180/PI()</f>
        <v>-130.8581648052642</v>
      </c>
      <c r="E179" s="18">
        <f>E169-E173</f>
        <v>-524.3652988598724</v>
      </c>
      <c r="F179" s="18">
        <f>F169-F173</f>
        <v>-606.23774094693</v>
      </c>
      <c r="G179" s="30"/>
      <c r="H179" s="30"/>
      <c r="I179" s="18">
        <f>C179*SQRT(3)</f>
        <v>1388.3261488535466</v>
      </c>
      <c r="J179" s="18">
        <f>D179+30</f>
        <v>-100.85816480526421</v>
      </c>
    </row>
    <row r="180" spans="2:10" ht="12" customHeight="1"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2:10" ht="12" customHeight="1">
      <c r="B181" s="30"/>
      <c r="C181" s="30"/>
      <c r="D181" s="30"/>
      <c r="E181" s="30"/>
      <c r="F181" s="30"/>
      <c r="G181" s="30"/>
      <c r="H181" s="30"/>
      <c r="I181" s="30"/>
      <c r="J181" s="30"/>
    </row>
  </sheetData>
  <sheetProtection password="C407" sheet="1" objects="1" scenarios="1"/>
  <conditionalFormatting sqref="D179 G164 C164 E164 E156 C156 D51 C149:C150 G149:G150 E149:E150 G140 D133:D135 D111:D112 H98:J98 D116:D130 D106:F106 C113:D114 D72 D62:D68 H25 D46 D12:D18 G9 H21 H17 H13 D20:D22 G156">
    <cfRule type="cellIs" priority="1" dxfId="0" operator="lessThan" stopIfTrue="1">
      <formula>0</formula>
    </cfRule>
  </conditionalFormatting>
  <conditionalFormatting sqref="G171:G177 G143:G144 G56">
    <cfRule type="cellIs" priority="2" dxfId="1" operator="greaterThan" stopIfTrue="1">
      <formula>0</formula>
    </cfRule>
  </conditionalFormatting>
  <conditionalFormatting sqref="G106 G72:G74 G64">
    <cfRule type="cellIs" priority="3" dxfId="2" operator="greaterThan" stopIfTrue="1">
      <formula>0</formula>
    </cfRule>
  </conditionalFormatting>
  <printOptions gridLines="1"/>
  <pageMargins left="0.5905511811023623" right="0.3937007874015748" top="0.7480314960629921" bottom="0.7480314960629921" header="0.5118110236220472" footer="0.5118110236220472"/>
  <pageSetup horizontalDpi="600" verticalDpi="600" orientation="portrait" paperSize="9" r:id="rId3"/>
  <headerFooter alignWithMargins="0">
    <oddHeader>&amp;L&amp;D - &amp;T&amp;C&amp;F&amp;RBeispiel.........Seite &amp;P / &amp;N</oddHeader>
    <oddFooter>&amp;L&amp;9Ausgabe: 11-2006 / 02&amp;C&amp;8(sinusförmige Größen; stationärer Netzzustand)&amp;R&amp;8Verfasser: Helmut Karger
e-mail: heka@vr-web.de</oddFooter>
  </headerFooter>
  <legacyDrawing r:id="rId2"/>
  <oleObjects>
    <oleObject progId="Designer.Drawing.7" shapeId="1469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Karger</dc:creator>
  <cp:keywords/>
  <dc:description/>
  <cp:lastModifiedBy>Helmut Karger</cp:lastModifiedBy>
  <cp:lastPrinted>2006-11-22T02:58:54Z</cp:lastPrinted>
  <dcterms:created xsi:type="dcterms:W3CDTF">1996-10-17T05:27:31Z</dcterms:created>
  <dcterms:modified xsi:type="dcterms:W3CDTF">2006-11-22T03:03:06Z</dcterms:modified>
  <cp:category/>
  <cp:version/>
  <cp:contentType/>
  <cp:contentStatus/>
</cp:coreProperties>
</file>