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2015" windowHeight="64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'Tabelle1'!$A$1:$J$174</definedName>
  </definedNames>
  <calcPr fullCalcOnLoad="1"/>
</workbook>
</file>

<file path=xl/sharedStrings.xml><?xml version="1.0" encoding="utf-8"?>
<sst xmlns="http://schemas.openxmlformats.org/spreadsheetml/2006/main" count="375" uniqueCount="240">
  <si>
    <t>Betrag</t>
  </si>
  <si>
    <t>Re</t>
  </si>
  <si>
    <t>Im</t>
  </si>
  <si>
    <r>
      <t xml:space="preserve">cos </t>
    </r>
    <r>
      <rPr>
        <sz val="8"/>
        <rFont val="Symbol"/>
        <family val="1"/>
      </rPr>
      <t>a</t>
    </r>
  </si>
  <si>
    <r>
      <t>a</t>
    </r>
    <r>
      <rPr>
        <sz val="8"/>
        <rFont val="Arial"/>
        <family val="2"/>
      </rPr>
      <t xml:space="preserve"> [°]</t>
    </r>
  </si>
  <si>
    <t>Re, Ii [°]</t>
  </si>
  <si>
    <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</si>
  <si>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P</t>
    </r>
    <r>
      <rPr>
        <vertAlign val="subscript"/>
        <sz val="8"/>
        <rFont val="Arial"/>
        <family val="2"/>
      </rPr>
      <t>3</t>
    </r>
  </si>
  <si>
    <t>&amp;</t>
  </si>
  <si>
    <t>Wirkleistung</t>
  </si>
  <si>
    <t>Blindleistung</t>
  </si>
  <si>
    <r>
      <t>U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</si>
  <si>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</si>
  <si>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</si>
  <si>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[W]</t>
    </r>
  </si>
  <si>
    <t xml:space="preserve">Winkel </t>
  </si>
  <si>
    <r>
      <t>Re, U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[°]</t>
    </r>
  </si>
  <si>
    <r>
      <t>Re, 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[°]</t>
    </r>
  </si>
  <si>
    <r>
      <t>U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30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</si>
  <si>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- 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[W]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</si>
  <si>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- 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[%]</t>
    </r>
  </si>
  <si>
    <r>
      <t>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- 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[%]</t>
    </r>
  </si>
  <si>
    <t>Spannungswandler</t>
  </si>
  <si>
    <t>Stromwandler</t>
  </si>
  <si>
    <t>Prüfung von Messmitteln</t>
  </si>
  <si>
    <t>Un1 [kV]</t>
  </si>
  <si>
    <t>Un2 [V]</t>
  </si>
  <si>
    <t>Knu</t>
  </si>
  <si>
    <t>In1 [A]</t>
  </si>
  <si>
    <t>In2 [A]</t>
  </si>
  <si>
    <t>Kni</t>
  </si>
  <si>
    <r>
      <t>P</t>
    </r>
    <r>
      <rPr>
        <vertAlign val="subscript"/>
        <sz val="8"/>
        <rFont val="Arial"/>
        <family val="2"/>
      </rPr>
      <t>pr2</t>
    </r>
    <r>
      <rPr>
        <sz val="8"/>
        <rFont val="Arial"/>
        <family val="2"/>
      </rPr>
      <t xml:space="preserve"> [MW]</t>
    </r>
  </si>
  <si>
    <r>
      <t>P</t>
    </r>
    <r>
      <rPr>
        <vertAlign val="subscript"/>
        <sz val="8"/>
        <rFont val="Arial"/>
        <family val="2"/>
      </rPr>
      <t>2min</t>
    </r>
    <r>
      <rPr>
        <sz val="8"/>
        <rFont val="Arial"/>
        <family val="2"/>
      </rPr>
      <t xml:space="preserve"> [MW]</t>
    </r>
  </si>
  <si>
    <r>
      <t>P</t>
    </r>
    <r>
      <rPr>
        <vertAlign val="subscript"/>
        <sz val="8"/>
        <rFont val="Arial"/>
        <family val="2"/>
      </rPr>
      <t>2max</t>
    </r>
    <r>
      <rPr>
        <sz val="8"/>
        <rFont val="Arial"/>
        <family val="2"/>
      </rPr>
      <t xml:space="preserve"> [MW]</t>
    </r>
  </si>
  <si>
    <r>
      <t>P</t>
    </r>
    <r>
      <rPr>
        <vertAlign val="subscript"/>
        <sz val="8"/>
        <rFont val="Arial"/>
        <family val="2"/>
      </rPr>
      <t>se2</t>
    </r>
    <r>
      <rPr>
        <sz val="8"/>
        <rFont val="Arial"/>
        <family val="2"/>
      </rPr>
      <t xml:space="preserve"> [W]</t>
    </r>
  </si>
  <si>
    <r>
      <t>P</t>
    </r>
    <r>
      <rPr>
        <vertAlign val="subscript"/>
        <sz val="8"/>
        <rFont val="Arial"/>
        <family val="2"/>
      </rPr>
      <t>2min</t>
    </r>
    <r>
      <rPr>
        <sz val="8"/>
        <rFont val="Arial"/>
        <family val="2"/>
      </rPr>
      <t xml:space="preserve"> [W]</t>
    </r>
  </si>
  <si>
    <r>
      <t>P</t>
    </r>
    <r>
      <rPr>
        <vertAlign val="subscript"/>
        <sz val="8"/>
        <rFont val="Arial"/>
        <family val="2"/>
      </rPr>
      <t>2max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</si>
  <si>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pr</t>
    </r>
    <r>
      <rPr>
        <sz val="8"/>
        <rFont val="Arial"/>
        <family val="2"/>
      </rPr>
      <t xml:space="preserve"> [kV]</t>
    </r>
  </si>
  <si>
    <r>
      <t>I</t>
    </r>
    <r>
      <rPr>
        <vertAlign val="subscript"/>
        <sz val="8"/>
        <rFont val="Arial"/>
        <family val="2"/>
      </rPr>
      <t>pr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</si>
  <si>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se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</si>
  <si>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se</t>
    </r>
    <r>
      <rPr>
        <sz val="8"/>
        <rFont val="Arial"/>
        <family val="2"/>
      </rPr>
      <t xml:space="preserve"> [A]</t>
    </r>
  </si>
  <si>
    <t>Phasenwinkel</t>
  </si>
  <si>
    <r>
      <t>Q</t>
    </r>
    <r>
      <rPr>
        <vertAlign val="subscript"/>
        <sz val="8"/>
        <rFont val="Arial"/>
        <family val="2"/>
      </rPr>
      <t>pr2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pr2</t>
    </r>
  </si>
  <si>
    <r>
      <t xml:space="preserve">cos </t>
    </r>
    <r>
      <rPr>
        <sz val="8"/>
        <rFont val="Symbol"/>
        <family val="1"/>
      </rPr>
      <t>j</t>
    </r>
  </si>
  <si>
    <r>
      <t xml:space="preserve">sin </t>
    </r>
    <r>
      <rPr>
        <sz val="8"/>
        <rFont val="Symbol"/>
        <family val="1"/>
      </rPr>
      <t>j</t>
    </r>
  </si>
  <si>
    <r>
      <t>Y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[mA]</t>
    </r>
  </si>
  <si>
    <t>Anfangswert</t>
  </si>
  <si>
    <t>Kennlinie</t>
  </si>
  <si>
    <r>
      <t>Y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[mA]</t>
    </r>
  </si>
  <si>
    <t>[mA]</t>
  </si>
  <si>
    <r>
      <t>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 xml:space="preserve"> [ mA ]</t>
    </r>
  </si>
  <si>
    <r>
      <t>U</t>
    </r>
    <r>
      <rPr>
        <vertAlign val="subscript"/>
        <sz val="8"/>
        <rFont val="Arial"/>
        <family val="2"/>
      </rPr>
      <t>pri</t>
    </r>
    <r>
      <rPr>
        <sz val="8"/>
        <rFont val="Arial"/>
        <family val="2"/>
      </rPr>
      <t xml:space="preserve"> [kV]</t>
    </r>
  </si>
  <si>
    <t>Leiterstrom</t>
  </si>
  <si>
    <r>
      <t>Q</t>
    </r>
    <r>
      <rPr>
        <vertAlign val="subscript"/>
        <sz val="8"/>
        <rFont val="Arial"/>
        <family val="2"/>
      </rPr>
      <t>pr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pr</t>
    </r>
  </si>
  <si>
    <t>Istwert</t>
  </si>
  <si>
    <r>
      <t>Y</t>
    </r>
    <r>
      <rPr>
        <vertAlign val="subscript"/>
        <sz val="8"/>
        <rFont val="Arial"/>
        <family val="2"/>
      </rPr>
      <t>ist</t>
    </r>
    <r>
      <rPr>
        <sz val="8"/>
        <rFont val="Arial"/>
        <family val="2"/>
      </rPr>
      <t xml:space="preserve"> [mA]</t>
    </r>
  </si>
  <si>
    <r>
      <t>Y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[mA]</t>
    </r>
  </si>
  <si>
    <r>
      <t>Y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[mA]</t>
    </r>
  </si>
  <si>
    <t>Lastimpedanzen</t>
  </si>
  <si>
    <t>L [H]</t>
  </si>
  <si>
    <t>Reihenschaltung von</t>
  </si>
  <si>
    <t>Z [Betrag]</t>
  </si>
  <si>
    <t>Z [Winkel]</t>
  </si>
  <si>
    <r>
      <t>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</t>
    </r>
  </si>
  <si>
    <r>
      <t>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</t>
    </r>
  </si>
  <si>
    <r>
      <t>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</t>
    </r>
  </si>
  <si>
    <t>Umrechnung Dreieck-Stern</t>
  </si>
  <si>
    <r>
      <t>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31</t>
    </r>
  </si>
  <si>
    <r>
      <t>cos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 (U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)</t>
    </r>
  </si>
  <si>
    <r>
      <t>sin</t>
    </r>
    <r>
      <rPr>
        <sz val="8"/>
        <rFont val="Symbol"/>
        <family val="1"/>
      </rPr>
      <t>j</t>
    </r>
    <r>
      <rPr>
        <sz val="8"/>
        <rFont val="Arial"/>
        <family val="2"/>
      </rPr>
      <t xml:space="preserve"> (U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</si>
  <si>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31</t>
    </r>
  </si>
  <si>
    <r>
      <t xml:space="preserve">von </t>
    </r>
    <r>
      <rPr>
        <b/>
        <sz val="8"/>
        <rFont val="Arial"/>
        <family val="2"/>
      </rPr>
      <t>S1</t>
    </r>
    <r>
      <rPr>
        <sz val="8"/>
        <rFont val="Arial"/>
        <family val="2"/>
      </rPr>
      <t xml:space="preserve"> zu (Kl. 9 - Kl. 7) nach (Kl. 3 - Kl. 1) zu </t>
    </r>
    <r>
      <rPr>
        <b/>
        <sz val="8"/>
        <rFont val="Arial"/>
        <family val="2"/>
      </rPr>
      <t>S2</t>
    </r>
  </si>
  <si>
    <r>
      <t>U</t>
    </r>
    <r>
      <rPr>
        <vertAlign val="subscript"/>
        <sz val="8"/>
        <rFont val="Arial"/>
        <family val="2"/>
      </rPr>
      <t>01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</si>
  <si>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02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</si>
  <si>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03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>)</t>
    </r>
  </si>
  <si>
    <t>P1 [W]</t>
  </si>
  <si>
    <t>P3 [W]</t>
  </si>
  <si>
    <t>Lastart</t>
  </si>
  <si>
    <r>
      <t>L1 (Kl. 5)</t>
    </r>
    <r>
      <rPr>
        <i/>
        <sz val="8"/>
        <rFont val="Arial"/>
        <family val="2"/>
      </rPr>
      <t xml:space="preserve"> - L2 (Kl. 2) - L3 (Kl. 8)</t>
    </r>
  </si>
  <si>
    <r>
      <t xml:space="preserve">L1 (Kl. 8) - </t>
    </r>
    <r>
      <rPr>
        <b/>
        <i/>
        <sz val="8"/>
        <rFont val="Arial"/>
        <family val="2"/>
      </rPr>
      <t xml:space="preserve">L2 (Kl. 5) </t>
    </r>
    <r>
      <rPr>
        <i/>
        <sz val="8"/>
        <rFont val="Arial"/>
        <family val="2"/>
      </rPr>
      <t>- L3 (Kl. 2)</t>
    </r>
  </si>
  <si>
    <r>
      <t xml:space="preserve">L1 (Kl. 2) - L2 (Kl. 8) - </t>
    </r>
    <r>
      <rPr>
        <b/>
        <i/>
        <sz val="8"/>
        <rFont val="Arial"/>
        <family val="2"/>
      </rPr>
      <t>L3 (Kl. 5)</t>
    </r>
  </si>
  <si>
    <r>
      <t>U</t>
    </r>
    <r>
      <rPr>
        <vertAlign val="subscript"/>
        <sz val="8"/>
        <rFont val="Arial"/>
        <family val="2"/>
      </rPr>
      <t>21</t>
    </r>
  </si>
  <si>
    <r>
      <t>U</t>
    </r>
    <r>
      <rPr>
        <vertAlign val="subscript"/>
        <sz val="8"/>
        <rFont val="Arial"/>
        <family val="2"/>
      </rPr>
      <t>32</t>
    </r>
  </si>
  <si>
    <r>
      <t>U</t>
    </r>
    <r>
      <rPr>
        <vertAlign val="subscript"/>
        <sz val="8"/>
        <rFont val="Arial"/>
        <family val="2"/>
      </rPr>
      <t>13</t>
    </r>
  </si>
  <si>
    <r>
      <t>Verschiebungsfaktor cos</t>
    </r>
    <r>
      <rPr>
        <b/>
        <i/>
        <sz val="8"/>
        <rFont val="Symbol"/>
        <family val="1"/>
      </rPr>
      <t>j</t>
    </r>
    <r>
      <rPr>
        <b/>
        <i/>
        <vertAlign val="subscript"/>
        <sz val="8"/>
        <rFont val="Arial"/>
        <family val="2"/>
      </rPr>
      <t>1</t>
    </r>
  </si>
  <si>
    <r>
      <t>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-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3</t>
    </r>
  </si>
  <si>
    <r>
      <t xml:space="preserve">Anschlüsse der Strom-Zuleitungen gegensinnig (180° + </t>
    </r>
    <r>
      <rPr>
        <sz val="8"/>
        <rFont val="Symbol"/>
        <family val="1"/>
      </rPr>
      <t>j</t>
    </r>
    <r>
      <rPr>
        <sz val="8"/>
        <rFont val="Arial"/>
        <family val="2"/>
      </rPr>
      <t>)</t>
    </r>
  </si>
  <si>
    <r>
      <t>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31</t>
    </r>
  </si>
  <si>
    <r>
      <t>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12</t>
    </r>
  </si>
  <si>
    <r>
      <t>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23</t>
    </r>
  </si>
  <si>
    <r>
      <t>Z"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= (Z"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) / (Z"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)</t>
    </r>
  </si>
  <si>
    <r>
      <t>Z"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 (Z"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) / (Z"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)</t>
    </r>
  </si>
  <si>
    <r>
      <t>Z"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= (Z"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>) / (Z"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+ Z"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</si>
  <si>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1</t>
    </r>
  </si>
  <si>
    <r>
      <t>U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2</t>
    </r>
  </si>
  <si>
    <r>
      <t>U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3</t>
    </r>
  </si>
  <si>
    <r>
      <t>Winkel (U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) [°]</t>
    </r>
  </si>
  <si>
    <r>
      <t>Winkel (U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) [°]</t>
    </r>
  </si>
  <si>
    <t>Betrag [A]</t>
  </si>
  <si>
    <r>
      <t>X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</si>
  <si>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X*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</si>
  <si>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L [H] aus X*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</si>
  <si>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</si>
  <si>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Betriebsfrequenz 50 Hz</t>
  </si>
  <si>
    <r>
      <t>Messwert cos</t>
    </r>
    <r>
      <rPr>
        <i/>
        <sz val="8"/>
        <rFont val="Symbol"/>
        <family val="1"/>
      </rPr>
      <t>j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 xml:space="preserve"> des Winkels (U</t>
    </r>
    <r>
      <rPr>
        <i/>
        <vertAlign val="subscript"/>
        <sz val="8"/>
        <rFont val="Arial"/>
        <family val="2"/>
      </rPr>
      <t>10</t>
    </r>
    <r>
      <rPr>
        <i/>
        <sz val="8"/>
        <rFont val="Arial"/>
        <family val="2"/>
      </rPr>
      <t xml:space="preserve"> - I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>)</t>
    </r>
  </si>
  <si>
    <r>
      <t>Messwert I</t>
    </r>
    <r>
      <rPr>
        <i/>
        <vertAlign val="subscript"/>
        <sz val="8"/>
        <rFont val="Arial"/>
        <family val="2"/>
      </rPr>
      <t>1</t>
    </r>
  </si>
  <si>
    <r>
      <t>Messwert I</t>
    </r>
    <r>
      <rPr>
        <i/>
        <vertAlign val="subscript"/>
        <sz val="8"/>
        <rFont val="Arial"/>
        <family val="2"/>
      </rPr>
      <t>2</t>
    </r>
  </si>
  <si>
    <r>
      <t>Messwert I</t>
    </r>
    <r>
      <rPr>
        <i/>
        <vertAlign val="subscript"/>
        <sz val="8"/>
        <rFont val="Arial"/>
        <family val="2"/>
      </rPr>
      <t>3</t>
    </r>
  </si>
  <si>
    <r>
      <t>P*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[W]</t>
    </r>
  </si>
  <si>
    <t>Drehstrom-Dreileiternetz</t>
  </si>
  <si>
    <r>
      <t>Q'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Q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Q</t>
    </r>
    <r>
      <rPr>
        <vertAlign val="subscript"/>
        <sz val="8"/>
        <rFont val="Arial"/>
        <family val="2"/>
      </rPr>
      <t>3</t>
    </r>
  </si>
  <si>
    <r>
      <t>P*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- 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[%]</t>
    </r>
  </si>
  <si>
    <r>
      <t>Q*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- Q'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[%]</t>
    </r>
  </si>
  <si>
    <r>
      <t>U'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1</t>
    </r>
  </si>
  <si>
    <r>
      <t>U'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2</t>
    </r>
  </si>
  <si>
    <r>
      <t>U'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3</t>
    </r>
  </si>
  <si>
    <r>
      <t>U'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1</t>
    </r>
  </si>
  <si>
    <r>
      <t>U'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3</t>
    </r>
  </si>
  <si>
    <r>
      <t>U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3</t>
    </r>
  </si>
  <si>
    <r>
      <t>U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1</t>
    </r>
  </si>
  <si>
    <r>
      <t xml:space="preserve">Leiter-Leiter-Spannungen </t>
    </r>
    <r>
      <rPr>
        <i/>
        <sz val="8"/>
        <rFont val="Arial"/>
        <family val="2"/>
      </rPr>
      <t>(Effektivwerte)</t>
    </r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</si>
  <si>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[W]</t>
    </r>
  </si>
  <si>
    <t>Energiemessung</t>
  </si>
  <si>
    <t>P [MW]</t>
  </si>
  <si>
    <t>E [MWh]</t>
  </si>
  <si>
    <t>Beispiel 3.6.1</t>
  </si>
  <si>
    <t>Beispiel 3.6.2</t>
  </si>
  <si>
    <t>Beispiel 3.6.4</t>
  </si>
  <si>
    <t>Beispiel 3.6.5</t>
  </si>
  <si>
    <r>
      <t>P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[MW]</t>
    </r>
  </si>
  <si>
    <t>I [A]</t>
  </si>
  <si>
    <r>
      <t>U</t>
    </r>
    <r>
      <rPr>
        <vertAlign val="subscript"/>
        <sz val="8"/>
        <rFont val="Arial"/>
        <family val="2"/>
      </rPr>
      <t>LL</t>
    </r>
    <r>
      <rPr>
        <sz val="8"/>
        <rFont val="Arial"/>
        <family val="2"/>
      </rPr>
      <t xml:space="preserve"> [kV]</t>
    </r>
  </si>
  <si>
    <r>
      <t>cos</t>
    </r>
    <r>
      <rPr>
        <sz val="8"/>
        <rFont val="Symbol"/>
        <family val="1"/>
      </rPr>
      <t>j</t>
    </r>
  </si>
  <si>
    <t>Impulsfrequenz und Wirkleistung</t>
  </si>
  <si>
    <r>
      <t>Imp</t>
    </r>
    <r>
      <rPr>
        <sz val="8"/>
        <rFont val="Arial"/>
        <family val="2"/>
      </rPr>
      <t xml:space="preserve"> / Ws</t>
    </r>
  </si>
  <si>
    <t>Imp / min</t>
  </si>
  <si>
    <t>Imp / s</t>
  </si>
  <si>
    <r>
      <t>Gerätekonstante Z</t>
    </r>
    <r>
      <rPr>
        <b/>
        <vertAlign val="subscript"/>
        <sz val="8"/>
        <rFont val="Arial"/>
        <family val="2"/>
      </rPr>
      <t>E</t>
    </r>
  </si>
  <si>
    <t>Beispiel 3.6.3</t>
  </si>
  <si>
    <t>Energie</t>
  </si>
  <si>
    <r>
      <t xml:space="preserve">Buch: </t>
    </r>
    <r>
      <rPr>
        <b/>
        <i/>
        <sz val="8"/>
        <rFont val="Arial"/>
        <family val="2"/>
      </rPr>
      <t xml:space="preserve">messen + regeln </t>
    </r>
    <r>
      <rPr>
        <sz val="8"/>
        <rFont val="Arial"/>
        <family val="2"/>
      </rPr>
      <t>in Starkstromnetzen</t>
    </r>
  </si>
  <si>
    <t>Leiterströme</t>
  </si>
  <si>
    <r>
      <t>Spannungswerte am Kalibrator</t>
    </r>
    <r>
      <rPr>
        <i/>
        <sz val="8"/>
        <rFont val="Arial"/>
        <family val="2"/>
      </rPr>
      <t xml:space="preserve"> (für symmetrische Kurzschlussimpedanzen)</t>
    </r>
  </si>
  <si>
    <r>
      <t>f</t>
    </r>
    <r>
      <rPr>
        <vertAlign val="subscript"/>
        <sz val="7"/>
        <rFont val="Arial"/>
        <family val="2"/>
      </rPr>
      <t>max</t>
    </r>
    <r>
      <rPr>
        <sz val="7"/>
        <rFont val="Arial"/>
        <family val="2"/>
      </rPr>
      <t xml:space="preserve"> [Imp / s]</t>
    </r>
  </si>
  <si>
    <r>
      <t>Z</t>
    </r>
    <r>
      <rPr>
        <vertAlign val="subscript"/>
        <sz val="7"/>
        <rFont val="Arial"/>
        <family val="2"/>
      </rPr>
      <t>E</t>
    </r>
    <r>
      <rPr>
        <sz val="7"/>
        <rFont val="Arial"/>
        <family val="2"/>
      </rPr>
      <t xml:space="preserve"> [Imp / kWh]</t>
    </r>
  </si>
  <si>
    <t>negative Werte</t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</si>
  <si>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- 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[s]</t>
    </r>
  </si>
  <si>
    <t>Vorzeichen des Winkels</t>
  </si>
  <si>
    <t>Endwert</t>
  </si>
  <si>
    <t>Beliebige Prüfpunkte; symmetrische Last</t>
  </si>
  <si>
    <r>
      <t>Endwerte X</t>
    </r>
    <r>
      <rPr>
        <b/>
        <i/>
        <vertAlign val="subscript"/>
        <sz val="8"/>
        <rFont val="Arial"/>
        <family val="2"/>
      </rPr>
      <t>2</t>
    </r>
    <r>
      <rPr>
        <b/>
        <i/>
        <sz val="8"/>
        <rFont val="Arial"/>
        <family val="2"/>
      </rPr>
      <t xml:space="preserve"> der Leistungsmessbereiche; symmetrische Last</t>
    </r>
  </si>
  <si>
    <r>
      <t>Y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- Y</t>
    </r>
    <r>
      <rPr>
        <vertAlign val="subscript"/>
        <sz val="8"/>
        <rFont val="Arial"/>
        <family val="2"/>
      </rPr>
      <t>0</t>
    </r>
  </si>
  <si>
    <t>Impulsanzahl N</t>
  </si>
  <si>
    <t>Drehstromnetz; symmetrische Last</t>
  </si>
  <si>
    <t>Gleichstrom-Ausgang</t>
  </si>
  <si>
    <t>Ausgangsbereich</t>
  </si>
  <si>
    <t>Betriebswerte (Messwerte) und einzustellende Werte am Kalibrator bei unsymmetrischen Netzgrößen</t>
  </si>
  <si>
    <r>
      <t>Q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max</t>
    </r>
  </si>
  <si>
    <r>
      <t>Q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min</t>
    </r>
  </si>
  <si>
    <t>Sollwert</t>
  </si>
  <si>
    <t>S [MVA]</t>
  </si>
  <si>
    <t>maximale Impulsfrequenz für P = S</t>
  </si>
  <si>
    <t>Fehlergrenze</t>
  </si>
  <si>
    <r>
      <t>Kennlinie 0...Y</t>
    </r>
    <r>
      <rPr>
        <b/>
        <vertAlign val="subscript"/>
        <sz val="8"/>
        <rFont val="Arial"/>
        <family val="2"/>
      </rPr>
      <t>2</t>
    </r>
  </si>
  <si>
    <r>
      <t>Kennlinie 0,2 Y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...Y</t>
    </r>
    <r>
      <rPr>
        <b/>
        <vertAlign val="subscript"/>
        <sz val="8"/>
        <rFont val="Arial"/>
        <family val="2"/>
      </rPr>
      <t>2</t>
    </r>
  </si>
  <si>
    <t>Primärwerte</t>
  </si>
  <si>
    <t>Sekundärwerte</t>
  </si>
  <si>
    <t>Zulässige Fehlergrenze der Messwerte [%]</t>
  </si>
  <si>
    <t>im Drehstrom-Dreileiternetz</t>
  </si>
  <si>
    <r>
      <t>P</t>
    </r>
    <r>
      <rPr>
        <vertAlign val="subscript"/>
        <sz val="8"/>
        <rFont val="Arial"/>
        <family val="2"/>
      </rPr>
      <t xml:space="preserve">pr </t>
    </r>
    <r>
      <rPr>
        <sz val="8"/>
        <rFont val="Arial"/>
        <family val="2"/>
      </rPr>
      <t>[MW]</t>
    </r>
  </si>
  <si>
    <r>
      <t>P</t>
    </r>
    <r>
      <rPr>
        <vertAlign val="subscript"/>
        <sz val="8"/>
        <rFont val="Arial"/>
        <family val="2"/>
      </rPr>
      <t xml:space="preserve">se </t>
    </r>
    <r>
      <rPr>
        <sz val="8"/>
        <rFont val="Arial"/>
        <family val="2"/>
      </rPr>
      <t>[W]</t>
    </r>
  </si>
  <si>
    <r>
      <t xml:space="preserve"> </t>
    </r>
    <r>
      <rPr>
        <sz val="8"/>
        <rFont val="Symbol"/>
        <family val="1"/>
      </rPr>
      <t>j [° ]</t>
    </r>
  </si>
  <si>
    <r>
      <t xml:space="preserve"> </t>
    </r>
    <r>
      <rPr>
        <sz val="8"/>
        <rFont val="Symbol"/>
        <family val="1"/>
      </rPr>
      <t>j [°]</t>
    </r>
  </si>
  <si>
    <t xml:space="preserve"> </t>
  </si>
  <si>
    <r>
      <t>0...Y</t>
    </r>
    <r>
      <rPr>
        <b/>
        <vertAlign val="subscript"/>
        <sz val="8"/>
        <rFont val="Arial"/>
        <family val="2"/>
      </rPr>
      <t>2</t>
    </r>
  </si>
  <si>
    <r>
      <t>0,2 Y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...Y</t>
    </r>
    <r>
      <rPr>
        <b/>
        <vertAlign val="subscript"/>
        <sz val="8"/>
        <rFont val="Arial"/>
        <family val="2"/>
      </rPr>
      <t>2</t>
    </r>
  </si>
  <si>
    <r>
      <t>Messwert von U</t>
    </r>
    <r>
      <rPr>
        <i/>
        <vertAlign val="subscript"/>
        <sz val="8"/>
        <rFont val="Arial"/>
        <family val="2"/>
      </rPr>
      <t>12</t>
    </r>
  </si>
  <si>
    <r>
      <t>Messwert von U</t>
    </r>
    <r>
      <rPr>
        <i/>
        <vertAlign val="subscript"/>
        <sz val="8"/>
        <rFont val="Arial"/>
        <family val="2"/>
      </rPr>
      <t>23</t>
    </r>
  </si>
  <si>
    <r>
      <t>Messwert von U</t>
    </r>
    <r>
      <rPr>
        <i/>
        <vertAlign val="subscript"/>
        <sz val="8"/>
        <rFont val="Arial"/>
        <family val="2"/>
      </rPr>
      <t>31</t>
    </r>
  </si>
  <si>
    <r>
      <t>Messwert von I</t>
    </r>
    <r>
      <rPr>
        <i/>
        <vertAlign val="subscript"/>
        <sz val="8"/>
        <rFont val="Arial"/>
        <family val="2"/>
      </rPr>
      <t>1</t>
    </r>
  </si>
  <si>
    <r>
      <t>Messwert von I</t>
    </r>
    <r>
      <rPr>
        <i/>
        <vertAlign val="subscript"/>
        <sz val="8"/>
        <rFont val="Arial"/>
        <family val="2"/>
      </rPr>
      <t>3</t>
    </r>
  </si>
  <si>
    <t>Kontrolle</t>
  </si>
  <si>
    <t>Summe</t>
  </si>
  <si>
    <t xml:space="preserve">Wirkleistung </t>
  </si>
  <si>
    <t xml:space="preserve">Leiter-Leiter-Spannung </t>
  </si>
  <si>
    <t xml:space="preserve">Blindleistung </t>
  </si>
  <si>
    <t>Leiter-Leiter-Spannung</t>
  </si>
  <si>
    <r>
      <t xml:space="preserve">alternativ </t>
    </r>
    <r>
      <rPr>
        <sz val="8"/>
        <rFont val="Arial"/>
        <family val="2"/>
      </rPr>
      <t xml:space="preserve">  P*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P</t>
    </r>
    <r>
      <rPr>
        <vertAlign val="subscript"/>
        <sz val="8"/>
        <rFont val="Arial"/>
        <family val="2"/>
      </rPr>
      <t>3</t>
    </r>
  </si>
  <si>
    <r>
      <t xml:space="preserve">alternativ </t>
    </r>
    <r>
      <rPr>
        <sz val="8"/>
        <rFont val="Arial"/>
        <family val="2"/>
      </rPr>
      <t xml:space="preserve">  Q*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Q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Q</t>
    </r>
    <r>
      <rPr>
        <vertAlign val="subscript"/>
        <sz val="8"/>
        <rFont val="Arial"/>
        <family val="2"/>
      </rPr>
      <t>3</t>
    </r>
  </si>
  <si>
    <t>Wert für Feld D50, so dass U10 auf reeller Achse Re (Winkel = 0)</t>
  </si>
  <si>
    <r>
      <t>U</t>
    </r>
    <r>
      <rPr>
        <vertAlign val="subscript"/>
        <sz val="8"/>
        <rFont val="Arial"/>
        <family val="2"/>
      </rPr>
      <t xml:space="preserve">ij </t>
    </r>
    <r>
      <rPr>
        <sz val="8"/>
        <rFont val="Arial"/>
        <family val="2"/>
      </rPr>
      <t>- U</t>
    </r>
    <r>
      <rPr>
        <vertAlign val="subscript"/>
        <sz val="8"/>
        <rFont val="Arial"/>
        <family val="2"/>
      </rPr>
      <t>i0</t>
    </r>
    <r>
      <rPr>
        <sz val="8"/>
        <rFont val="Arial"/>
        <family val="2"/>
      </rPr>
      <t xml:space="preserve"> [°]</t>
    </r>
  </si>
  <si>
    <r>
      <t>I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j</t>
    </r>
    <r>
      <rPr>
        <sz val="8"/>
        <rFont val="Arial"/>
        <family val="2"/>
      </rPr>
      <t xml:space="preserve"> [°]</t>
    </r>
  </si>
  <si>
    <r>
      <t>U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jk</t>
    </r>
    <r>
      <rPr>
        <sz val="8"/>
        <rFont val="Arial"/>
        <family val="2"/>
      </rPr>
      <t xml:space="preserve"> [°]</t>
    </r>
  </si>
  <si>
    <r>
      <t>I</t>
    </r>
    <r>
      <rPr>
        <b/>
        <vertAlign val="subscript"/>
        <sz val="8"/>
        <rFont val="Arial"/>
        <family val="2"/>
      </rPr>
      <t>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[%]</t>
    </r>
  </si>
  <si>
    <r>
      <t>U</t>
    </r>
    <r>
      <rPr>
        <b/>
        <vertAlign val="subscript"/>
        <sz val="8"/>
        <rFont val="Arial"/>
        <family val="2"/>
      </rPr>
      <t>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[%]</t>
    </r>
  </si>
  <si>
    <r>
      <t>S</t>
    </r>
    <r>
      <rPr>
        <sz val="8"/>
        <rFont val="Arial"/>
        <family val="2"/>
      </rPr>
      <t xml:space="preserve"> = 3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2"/>
      </rPr>
      <t xml:space="preserve"> U</t>
    </r>
    <r>
      <rPr>
        <vertAlign val="subscript"/>
        <sz val="8"/>
        <rFont val="Arial"/>
        <family val="2"/>
      </rPr>
      <t>LL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</t>
    </r>
  </si>
  <si>
    <r>
      <t xml:space="preserve">Unsymmetrie der Ströme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[%]</t>
    </r>
  </si>
  <si>
    <t>Unsymmetrien</t>
  </si>
  <si>
    <t xml:space="preserve">   Impulsabstand</t>
  </si>
  <si>
    <t>E [Ws]</t>
  </si>
  <si>
    <t>bezogene Energie E [kWh]</t>
  </si>
  <si>
    <t>geforderte Auflösung [% von E]</t>
  </si>
  <si>
    <r>
      <t>Mindest-Impulsanzahl N</t>
    </r>
    <r>
      <rPr>
        <vertAlign val="subscript"/>
        <sz val="8"/>
        <rFont val="Arial"/>
        <family val="2"/>
      </rPr>
      <t>min</t>
    </r>
  </si>
  <si>
    <r>
      <t>E / N</t>
    </r>
    <r>
      <rPr>
        <vertAlign val="subscript"/>
        <sz val="8"/>
        <rFont val="Arial"/>
        <family val="2"/>
      </rPr>
      <t>min</t>
    </r>
    <r>
      <rPr>
        <sz val="8"/>
        <rFont val="Arial"/>
        <family val="2"/>
      </rPr>
      <t xml:space="preserve"> [kWh]</t>
    </r>
  </si>
  <si>
    <r>
      <t>Q</t>
    </r>
    <r>
      <rPr>
        <vertAlign val="subscript"/>
        <sz val="8"/>
        <rFont val="Arial"/>
        <family val="2"/>
      </rPr>
      <t>pri</t>
    </r>
    <r>
      <rPr>
        <sz val="8"/>
        <rFont val="Arial"/>
        <family val="2"/>
      </rPr>
      <t xml:space="preserve"> [MVar]</t>
    </r>
  </si>
  <si>
    <r>
      <t>Q</t>
    </r>
    <r>
      <rPr>
        <vertAlign val="subscript"/>
        <sz val="8"/>
        <rFont val="Arial"/>
        <family val="2"/>
      </rPr>
      <t>se</t>
    </r>
    <r>
      <rPr>
        <sz val="8"/>
        <rFont val="Arial"/>
        <family val="2"/>
      </rPr>
      <t xml:space="preserve"> [Var]</t>
    </r>
  </si>
  <si>
    <r>
      <t>Q</t>
    </r>
    <r>
      <rPr>
        <vertAlign val="subscript"/>
        <sz val="8"/>
        <rFont val="Arial"/>
        <family val="2"/>
      </rPr>
      <t>pr2</t>
    </r>
    <r>
      <rPr>
        <sz val="8"/>
        <rFont val="Arial"/>
        <family val="2"/>
      </rPr>
      <t xml:space="preserve"> [MVar]</t>
    </r>
  </si>
  <si>
    <r>
      <t>Q</t>
    </r>
    <r>
      <rPr>
        <vertAlign val="subscript"/>
        <sz val="8"/>
        <rFont val="Arial"/>
        <family val="2"/>
      </rPr>
      <t>se2</t>
    </r>
    <r>
      <rPr>
        <sz val="8"/>
        <rFont val="Arial"/>
        <family val="2"/>
      </rPr>
      <t xml:space="preserve"> [Var]</t>
    </r>
  </si>
  <si>
    <r>
      <t>Q</t>
    </r>
    <r>
      <rPr>
        <vertAlign val="subscript"/>
        <sz val="8"/>
        <rFont val="Arial"/>
        <family val="2"/>
      </rPr>
      <t>2min</t>
    </r>
    <r>
      <rPr>
        <sz val="8"/>
        <rFont val="Arial"/>
        <family val="2"/>
      </rPr>
      <t xml:space="preserve"> [MVar]</t>
    </r>
  </si>
  <si>
    <r>
      <t>Q</t>
    </r>
    <r>
      <rPr>
        <vertAlign val="subscript"/>
        <sz val="8"/>
        <rFont val="Arial"/>
        <family val="2"/>
      </rPr>
      <t>2max</t>
    </r>
    <r>
      <rPr>
        <sz val="8"/>
        <rFont val="Arial"/>
        <family val="2"/>
      </rPr>
      <t xml:space="preserve"> [MVar]</t>
    </r>
  </si>
  <si>
    <r>
      <t>Q</t>
    </r>
    <r>
      <rPr>
        <vertAlign val="subscript"/>
        <sz val="8"/>
        <rFont val="Arial"/>
        <family val="2"/>
      </rPr>
      <t>2min</t>
    </r>
    <r>
      <rPr>
        <sz val="8"/>
        <rFont val="Arial"/>
        <family val="2"/>
      </rPr>
      <t xml:space="preserve"> [Var]</t>
    </r>
  </si>
  <si>
    <r>
      <t>Q</t>
    </r>
    <r>
      <rPr>
        <vertAlign val="subscript"/>
        <sz val="8"/>
        <rFont val="Arial"/>
        <family val="2"/>
      </rPr>
      <t>2max</t>
    </r>
    <r>
      <rPr>
        <sz val="8"/>
        <rFont val="Arial"/>
        <family val="2"/>
      </rPr>
      <t xml:space="preserve"> [Var]</t>
    </r>
  </si>
  <si>
    <r>
      <t>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* [Var]</t>
    </r>
  </si>
  <si>
    <t>Q1 [Var]</t>
  </si>
  <si>
    <t>Q3 [Var]</t>
  </si>
  <si>
    <r>
      <t>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[Var]</t>
    </r>
  </si>
  <si>
    <r>
      <t>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>" - Q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[Var]</t>
    </r>
  </si>
  <si>
    <r>
      <t>Q'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[Var]</t>
    </r>
  </si>
  <si>
    <r>
      <t>Q*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[Var]</t>
    </r>
  </si>
  <si>
    <r>
      <t xml:space="preserve">Messung </t>
    </r>
    <r>
      <rPr>
        <b/>
        <sz val="7"/>
        <rFont val="Arial"/>
        <family val="2"/>
      </rPr>
      <t>drei</t>
    </r>
    <r>
      <rPr>
        <sz val="7"/>
        <rFont val="Arial"/>
        <family val="2"/>
      </rPr>
      <t>systemig</t>
    </r>
  </si>
  <si>
    <r>
      <t xml:space="preserve">Messung </t>
    </r>
    <r>
      <rPr>
        <b/>
        <sz val="7"/>
        <rFont val="Arial"/>
        <family val="2"/>
      </rPr>
      <t>zwei</t>
    </r>
    <r>
      <rPr>
        <sz val="7"/>
        <rFont val="Arial"/>
        <family val="2"/>
      </rPr>
      <t>systemig</t>
    </r>
  </si>
  <si>
    <t>Zulässige Abweichung; [MW] und [W] vom Endwert</t>
  </si>
  <si>
    <t>Betrieb eines zweisystemigen Messmittels mit Reihenschaltung der Strompfade</t>
  </si>
  <si>
    <t>Endwert des Messbereiches</t>
  </si>
  <si>
    <r>
      <t>Anschluss  U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 xml:space="preserve"> und U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</si>
  <si>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Anschluss  U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 xml:space="preserve"> und U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2</t>
    </r>
  </si>
  <si>
    <r>
      <t>Anschluss  U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und U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3</t>
    </r>
  </si>
  <si>
    <r>
      <t>Anschluss U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02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1</t>
    </r>
  </si>
  <si>
    <r>
      <t>Anschluss  U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03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2</t>
    </r>
  </si>
  <si>
    <r>
      <t>Anschluss  U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 xml:space="preserve">23 </t>
    </r>
    <r>
      <rPr>
        <sz val="8"/>
        <rFont val="Arial"/>
        <family val="2"/>
      </rPr>
      <t>/ U</t>
    </r>
    <r>
      <rPr>
        <vertAlign val="subscript"/>
        <sz val="8"/>
        <rFont val="Arial"/>
        <family val="2"/>
      </rPr>
      <t>01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 xml:space="preserve">; Strom </t>
    </r>
    <r>
      <rPr>
        <b/>
        <sz val="8"/>
        <rFont val="Arial"/>
        <family val="2"/>
      </rPr>
      <t>I</t>
    </r>
    <r>
      <rPr>
        <b/>
        <vertAlign val="subscript"/>
        <sz val="8"/>
        <rFont val="Arial"/>
        <family val="2"/>
      </rPr>
      <t>3</t>
    </r>
  </si>
  <si>
    <r>
      <t xml:space="preserve">Unsymmetrie der Spannungen </t>
    </r>
  </si>
  <si>
    <t>erforderliche Auflösung</t>
  </si>
  <si>
    <r>
      <t>(Y</t>
    </r>
    <r>
      <rPr>
        <vertAlign val="subscript"/>
        <sz val="8"/>
        <rFont val="Arial"/>
        <family val="2"/>
      </rPr>
      <t>ist</t>
    </r>
    <r>
      <rPr>
        <sz val="8"/>
        <rFont val="Arial"/>
        <family val="2"/>
      </rPr>
      <t xml:space="preserve"> - 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>) 100 % / Y</t>
    </r>
    <r>
      <rPr>
        <vertAlign val="subscript"/>
        <sz val="8"/>
        <rFont val="Arial"/>
        <family val="2"/>
      </rPr>
      <t xml:space="preserve">2 </t>
    </r>
  </si>
  <si>
    <r>
      <t>(Y</t>
    </r>
    <r>
      <rPr>
        <vertAlign val="subscript"/>
        <sz val="8"/>
        <rFont val="Arial"/>
        <family val="2"/>
      </rPr>
      <t>ist</t>
    </r>
    <r>
      <rPr>
        <sz val="8"/>
        <rFont val="Arial"/>
        <family val="2"/>
      </rPr>
      <t xml:space="preserve"> - 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>) 100 % / Y</t>
    </r>
    <r>
      <rPr>
        <vertAlign val="subscript"/>
        <sz val="8"/>
        <rFont val="Arial"/>
        <family val="2"/>
      </rPr>
      <t xml:space="preserve">soll </t>
    </r>
  </si>
  <si>
    <r>
      <t>(Y</t>
    </r>
    <r>
      <rPr>
        <vertAlign val="subscript"/>
        <sz val="8"/>
        <rFont val="Arial"/>
        <family val="2"/>
      </rPr>
      <t>ist</t>
    </r>
    <r>
      <rPr>
        <sz val="8"/>
        <rFont val="Arial"/>
        <family val="2"/>
      </rPr>
      <t xml:space="preserve"> - 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>) 100 % / (Y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 xml:space="preserve"> - 0,2 Y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</si>
  <si>
    <r>
      <t>(Y</t>
    </r>
    <r>
      <rPr>
        <vertAlign val="subscript"/>
        <sz val="8"/>
        <rFont val="Arial"/>
        <family val="2"/>
      </rPr>
      <t>ist</t>
    </r>
    <r>
      <rPr>
        <sz val="8"/>
        <rFont val="Arial"/>
        <family val="2"/>
      </rPr>
      <t xml:space="preserve"> - Y</t>
    </r>
    <r>
      <rPr>
        <vertAlign val="subscript"/>
        <sz val="8"/>
        <rFont val="Arial"/>
        <family val="2"/>
      </rPr>
      <t>soll</t>
    </r>
    <r>
      <rPr>
        <sz val="8"/>
        <rFont val="Arial"/>
        <family val="2"/>
      </rPr>
      <t>) 100 % / (Y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- 0,2 Y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</si>
  <si>
    <r>
      <t>Y</t>
    </r>
    <r>
      <rPr>
        <vertAlign val="subscript"/>
        <sz val="8"/>
        <rFont val="Arial"/>
        <family val="2"/>
      </rPr>
      <t>0</t>
    </r>
    <r>
      <rPr>
        <sz val="8"/>
        <rFont val="Arial"/>
        <family val="0"/>
      </rPr>
      <t xml:space="preserve"> = 0</t>
    </r>
  </si>
  <si>
    <r>
      <t>Y</t>
    </r>
    <r>
      <rPr>
        <vertAlign val="subscript"/>
        <sz val="8"/>
        <rFont val="Arial"/>
        <family val="2"/>
      </rPr>
      <t>0</t>
    </r>
    <r>
      <rPr>
        <sz val="8"/>
        <rFont val="Arial"/>
        <family val="0"/>
      </rPr>
      <t xml:space="preserve"> = 0,2 Y</t>
    </r>
    <r>
      <rPr>
        <vertAlign val="subscript"/>
        <sz val="8"/>
        <rFont val="Arial"/>
        <family val="2"/>
      </rPr>
      <t>2</t>
    </r>
  </si>
  <si>
    <t>symmetrisch</t>
  </si>
  <si>
    <t>Netzgrößen und Lastimpedanzen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</si>
</sst>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E+00"/>
    <numFmt numFmtId="175" formatCode="0.00000"/>
    <numFmt numFmtId="176" formatCode="0.0000"/>
    <numFmt numFmtId="177" formatCode="0.0.E+00"/>
    <numFmt numFmtId="178" formatCode="0.00.E+00"/>
    <numFmt numFmtId="179" formatCode="0.0000000"/>
    <numFmt numFmtId="180" formatCode="0.000000"/>
    <numFmt numFmtId="181" formatCode="0.000E+00"/>
    <numFmt numFmtId="182" formatCode="#,##0.0"/>
  </numFmts>
  <fonts count="22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vertAlign val="subscript"/>
      <sz val="8"/>
      <name val="Symbol"/>
      <family val="1"/>
    </font>
    <font>
      <b/>
      <i/>
      <vertAlign val="subscript"/>
      <sz val="8"/>
      <name val="Arial"/>
      <family val="2"/>
    </font>
    <font>
      <b/>
      <sz val="10"/>
      <name val="Arial"/>
      <family val="2"/>
    </font>
    <font>
      <b/>
      <i/>
      <sz val="8"/>
      <name val="Symbol"/>
      <family val="1"/>
    </font>
    <font>
      <i/>
      <sz val="8"/>
      <name val="Symbol"/>
      <family val="1"/>
    </font>
    <font>
      <i/>
      <vertAlign val="subscript"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bscript"/>
      <sz val="7"/>
      <name val="Arial"/>
      <family val="2"/>
    </font>
    <font>
      <i/>
      <sz val="8"/>
      <color indexed="10"/>
      <name val="Arial"/>
      <family val="2"/>
    </font>
    <font>
      <i/>
      <sz val="8"/>
      <color indexed="53"/>
      <name val="Arial"/>
      <family val="2"/>
    </font>
    <font>
      <i/>
      <sz val="10"/>
      <color indexed="53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17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left" vertical="center"/>
      <protection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3" borderId="0" xfId="0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/>
    </xf>
    <xf numFmtId="1" fontId="7" fillId="4" borderId="0" xfId="0" applyNumberFormat="1" applyFont="1" applyFill="1" applyAlignment="1" applyProtection="1">
      <alignment horizontal="center" vertical="center"/>
      <protection/>
    </xf>
    <xf numFmtId="173" fontId="1" fillId="5" borderId="0" xfId="0" applyNumberFormat="1" applyFont="1" applyFill="1" applyAlignment="1" applyProtection="1">
      <alignment horizontal="center" vertical="center"/>
      <protection/>
    </xf>
    <xf numFmtId="173" fontId="4" fillId="5" borderId="0" xfId="0" applyNumberFormat="1" applyFont="1" applyFill="1" applyAlignment="1" applyProtection="1">
      <alignment horizontal="center" vertical="center"/>
      <protection/>
    </xf>
    <xf numFmtId="173" fontId="1" fillId="5" borderId="0" xfId="0" applyNumberFormat="1" applyFont="1" applyFill="1" applyBorder="1" applyAlignment="1" applyProtection="1">
      <alignment horizontal="center" vertical="center"/>
      <protection/>
    </xf>
    <xf numFmtId="173" fontId="4" fillId="5" borderId="0" xfId="0" applyNumberFormat="1" applyFont="1" applyFill="1" applyBorder="1" applyAlignment="1" applyProtection="1">
      <alignment horizontal="center" vertical="center"/>
      <protection/>
    </xf>
    <xf numFmtId="2" fontId="1" fillId="3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175" fontId="1" fillId="0" borderId="0" xfId="0" applyNumberFormat="1" applyFont="1" applyFill="1" applyAlignment="1" applyProtection="1">
      <alignment horizontal="center"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1" fillId="6" borderId="0" xfId="0" applyFont="1" applyFill="1" applyAlignment="1" applyProtection="1">
      <alignment horizontal="center" vertical="center"/>
      <protection/>
    </xf>
    <xf numFmtId="172" fontId="1" fillId="6" borderId="0" xfId="0" applyNumberFormat="1" applyFont="1" applyFill="1" applyAlignment="1" applyProtection="1">
      <alignment horizontal="center" vertical="center"/>
      <protection/>
    </xf>
    <xf numFmtId="173" fontId="1" fillId="6" borderId="0" xfId="0" applyNumberFormat="1" applyFont="1" applyFill="1" applyAlignment="1" applyProtection="1">
      <alignment horizontal="right" vertical="center"/>
      <protection/>
    </xf>
    <xf numFmtId="2" fontId="1" fillId="6" borderId="0" xfId="0" applyNumberFormat="1" applyFont="1" applyFill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vertical="center"/>
      <protection/>
    </xf>
    <xf numFmtId="0" fontId="18" fillId="6" borderId="0" xfId="0" applyFont="1" applyFill="1" applyAlignment="1" applyProtection="1">
      <alignment horizontal="right" vertical="center"/>
      <protection/>
    </xf>
    <xf numFmtId="172" fontId="18" fillId="6" borderId="0" xfId="0" applyNumberFormat="1" applyFont="1" applyFill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right" vertical="center"/>
      <protection/>
    </xf>
    <xf numFmtId="2" fontId="1" fillId="6" borderId="0" xfId="0" applyNumberFormat="1" applyFont="1" applyFill="1" applyAlignment="1" applyProtection="1">
      <alignment horizontal="right" vertical="center"/>
      <protection/>
    </xf>
    <xf numFmtId="173" fontId="1" fillId="6" borderId="0" xfId="0" applyNumberFormat="1" applyFont="1" applyFill="1" applyAlignment="1" applyProtection="1">
      <alignment horizontal="center" vertical="center"/>
      <protection/>
    </xf>
    <xf numFmtId="2" fontId="1" fillId="6" borderId="0" xfId="0" applyNumberFormat="1" applyFont="1" applyFill="1" applyAlignment="1" applyProtection="1">
      <alignment vertical="center"/>
      <protection/>
    </xf>
    <xf numFmtId="172" fontId="1" fillId="6" borderId="0" xfId="0" applyNumberFormat="1" applyFont="1" applyFill="1" applyAlignment="1" applyProtection="1">
      <alignment horizontal="right" vertical="center"/>
      <protection/>
    </xf>
    <xf numFmtId="172" fontId="4" fillId="6" borderId="0" xfId="0" applyNumberFormat="1" applyFont="1" applyFill="1" applyAlignment="1" applyProtection="1">
      <alignment horizontal="center" vertical="center"/>
      <protection/>
    </xf>
    <xf numFmtId="1" fontId="4" fillId="6" borderId="0" xfId="0" applyNumberFormat="1" applyFont="1" applyFill="1" applyAlignment="1" applyProtection="1">
      <alignment horizontal="right" vertical="center"/>
      <protection/>
    </xf>
    <xf numFmtId="0" fontId="1" fillId="6" borderId="0" xfId="0" applyFont="1" applyFill="1" applyAlignment="1" applyProtection="1">
      <alignment horizontal="right" vertical="center"/>
      <protection/>
    </xf>
    <xf numFmtId="0" fontId="2" fillId="6" borderId="0" xfId="0" applyFont="1" applyFill="1" applyAlignment="1" applyProtection="1">
      <alignment vertical="center"/>
      <protection/>
    </xf>
    <xf numFmtId="1" fontId="7" fillId="6" borderId="0" xfId="0" applyNumberFormat="1" applyFont="1" applyFill="1" applyAlignment="1" applyProtection="1">
      <alignment horizontal="right" vertical="center"/>
      <protection/>
    </xf>
    <xf numFmtId="0" fontId="4" fillId="6" borderId="0" xfId="0" applyFont="1" applyFill="1" applyAlignment="1" applyProtection="1">
      <alignment horizontal="center" vertical="center"/>
      <protection/>
    </xf>
    <xf numFmtId="172" fontId="2" fillId="6" borderId="0" xfId="0" applyNumberFormat="1" applyFont="1" applyFill="1" applyAlignment="1" applyProtection="1">
      <alignment horizontal="left" vertical="center"/>
      <protection/>
    </xf>
    <xf numFmtId="172" fontId="7" fillId="6" borderId="0" xfId="0" applyNumberFormat="1" applyFont="1" applyFill="1" applyAlignment="1" applyProtection="1">
      <alignment horizontal="right" vertical="center"/>
      <protection/>
    </xf>
    <xf numFmtId="0" fontId="14" fillId="6" borderId="0" xfId="0" applyFont="1" applyFill="1" applyAlignment="1" applyProtection="1">
      <alignment horizontal="left" vertical="center"/>
      <protection/>
    </xf>
    <xf numFmtId="49" fontId="1" fillId="6" borderId="0" xfId="0" applyNumberFormat="1" applyFont="1" applyFill="1" applyAlignment="1" applyProtection="1">
      <alignment horizontal="right" vertical="center"/>
      <protection/>
    </xf>
    <xf numFmtId="0" fontId="2" fillId="6" borderId="0" xfId="0" applyFont="1" applyFill="1" applyAlignment="1" applyProtection="1">
      <alignment horizontal="left" vertical="center"/>
      <protection/>
    </xf>
    <xf numFmtId="172" fontId="2" fillId="6" borderId="0" xfId="0" applyNumberFormat="1" applyFont="1" applyFill="1" applyAlignment="1" applyProtection="1">
      <alignment horizontal="right" vertical="center"/>
      <protection/>
    </xf>
    <xf numFmtId="0" fontId="4" fillId="6" borderId="0" xfId="0" applyFont="1" applyFill="1" applyAlignment="1" applyProtection="1">
      <alignment horizontal="right" vertical="center"/>
      <protection/>
    </xf>
    <xf numFmtId="49" fontId="4" fillId="6" borderId="0" xfId="0" applyNumberFormat="1" applyFont="1" applyFill="1" applyAlignment="1" applyProtection="1">
      <alignment horizontal="right" vertical="center"/>
      <protection/>
    </xf>
    <xf numFmtId="172" fontId="1" fillId="6" borderId="0" xfId="0" applyNumberFormat="1" applyFont="1" applyFill="1" applyBorder="1" applyAlignment="1" applyProtection="1">
      <alignment horizontal="left" vertical="center"/>
      <protection/>
    </xf>
    <xf numFmtId="0" fontId="0" fillId="6" borderId="0" xfId="0" applyFill="1" applyAlignment="1" applyProtection="1">
      <alignment horizontal="center" vertical="center"/>
      <protection/>
    </xf>
    <xf numFmtId="1" fontId="1" fillId="6" borderId="0" xfId="0" applyNumberFormat="1" applyFont="1" applyFill="1" applyAlignment="1" applyProtection="1">
      <alignment horizontal="center" vertical="center"/>
      <protection/>
    </xf>
    <xf numFmtId="173" fontId="4" fillId="6" borderId="0" xfId="0" applyNumberFormat="1" applyFont="1" applyFill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center" vertical="center"/>
      <protection/>
    </xf>
    <xf numFmtId="2" fontId="4" fillId="6" borderId="0" xfId="0" applyNumberFormat="1" applyFont="1" applyFill="1" applyAlignment="1" applyProtection="1">
      <alignment horizontal="center" vertical="center"/>
      <protection/>
    </xf>
    <xf numFmtId="176" fontId="1" fillId="6" borderId="0" xfId="0" applyNumberFormat="1" applyFont="1" applyFill="1" applyAlignment="1" applyProtection="1">
      <alignment vertical="center"/>
      <protection/>
    </xf>
    <xf numFmtId="2" fontId="7" fillId="6" borderId="0" xfId="0" applyNumberFormat="1" applyFont="1" applyFill="1" applyAlignment="1" applyProtection="1">
      <alignment horizontal="center" vertical="center"/>
      <protection/>
    </xf>
    <xf numFmtId="173" fontId="1" fillId="6" borderId="0" xfId="0" applyNumberFormat="1" applyFont="1" applyFill="1" applyAlignment="1" applyProtection="1">
      <alignment horizontal="left" vertical="center"/>
      <protection/>
    </xf>
    <xf numFmtId="172" fontId="7" fillId="6" borderId="0" xfId="0" applyNumberFormat="1" applyFont="1" applyFill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horizontal="left" vertical="center"/>
      <protection/>
    </xf>
    <xf numFmtId="172" fontId="1" fillId="6" borderId="0" xfId="0" applyNumberFormat="1" applyFont="1" applyFill="1" applyAlignment="1" applyProtection="1">
      <alignment horizontal="left" vertical="center"/>
      <protection/>
    </xf>
    <xf numFmtId="0" fontId="1" fillId="6" borderId="0" xfId="0" applyFont="1" applyFill="1" applyAlignment="1" applyProtection="1">
      <alignment vertical="center"/>
      <protection/>
    </xf>
    <xf numFmtId="0" fontId="17" fillId="6" borderId="0" xfId="0" applyFont="1" applyFill="1" applyAlignment="1" applyProtection="1">
      <alignment vertical="center"/>
      <protection/>
    </xf>
    <xf numFmtId="1" fontId="1" fillId="6" borderId="0" xfId="0" applyNumberFormat="1" applyFont="1" applyFill="1" applyBorder="1" applyAlignment="1" applyProtection="1">
      <alignment horizontal="center" vertical="center"/>
      <protection/>
    </xf>
    <xf numFmtId="49" fontId="7" fillId="6" borderId="0" xfId="0" applyNumberFormat="1" applyFont="1" applyFill="1" applyAlignment="1" applyProtection="1">
      <alignment horizontal="center" vertical="center"/>
      <protection/>
    </xf>
    <xf numFmtId="173" fontId="1" fillId="6" borderId="0" xfId="0" applyNumberFormat="1" applyFont="1" applyFill="1" applyBorder="1" applyAlignment="1" applyProtection="1">
      <alignment horizontal="center" vertical="center"/>
      <protection/>
    </xf>
    <xf numFmtId="173" fontId="4" fillId="6" borderId="0" xfId="0" applyNumberFormat="1" applyFont="1" applyFill="1" applyBorder="1" applyAlignment="1" applyProtection="1">
      <alignment horizontal="center" vertical="center"/>
      <protection/>
    </xf>
    <xf numFmtId="173" fontId="10" fillId="6" borderId="0" xfId="0" applyNumberFormat="1" applyFont="1" applyFill="1" applyAlignment="1" applyProtection="1">
      <alignment horizontal="center" vertical="center"/>
      <protection/>
    </xf>
    <xf numFmtId="175" fontId="1" fillId="6" borderId="0" xfId="0" applyNumberFormat="1" applyFont="1" applyFill="1" applyAlignment="1" applyProtection="1">
      <alignment horizontal="center" vertical="center"/>
      <protection/>
    </xf>
    <xf numFmtId="176" fontId="1" fillId="6" borderId="0" xfId="0" applyNumberFormat="1" applyFont="1" applyFill="1" applyAlignment="1" applyProtection="1">
      <alignment horizontal="left" vertical="center"/>
      <protection/>
    </xf>
    <xf numFmtId="0" fontId="0" fillId="6" borderId="1" xfId="0" applyFill="1" applyBorder="1" applyAlignment="1" applyProtection="1">
      <alignment vertical="center"/>
      <protection/>
    </xf>
    <xf numFmtId="2" fontId="1" fillId="6" borderId="1" xfId="0" applyNumberFormat="1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right" vertical="center"/>
      <protection/>
    </xf>
    <xf numFmtId="172" fontId="1" fillId="6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0" fillId="6" borderId="2" xfId="0" applyFill="1" applyBorder="1" applyAlignment="1" applyProtection="1">
      <alignment vertical="center"/>
      <protection/>
    </xf>
    <xf numFmtId="172" fontId="1" fillId="7" borderId="0" xfId="0" applyNumberFormat="1" applyFont="1" applyFill="1" applyAlignment="1" applyProtection="1">
      <alignment horizontal="center" vertical="center"/>
      <protection locked="0"/>
    </xf>
    <xf numFmtId="172" fontId="1" fillId="6" borderId="3" xfId="0" applyNumberFormat="1" applyFont="1" applyFill="1" applyBorder="1" applyAlignment="1" applyProtection="1">
      <alignment horizontal="center" vertical="center"/>
      <protection/>
    </xf>
    <xf numFmtId="0" fontId="1" fillId="6" borderId="3" xfId="0" applyFont="1" applyFill="1" applyBorder="1" applyAlignment="1" applyProtection="1">
      <alignment horizontal="center" vertical="center"/>
      <protection/>
    </xf>
    <xf numFmtId="172" fontId="1" fillId="6" borderId="1" xfId="0" applyNumberFormat="1" applyFont="1" applyFill="1" applyBorder="1" applyAlignment="1" applyProtection="1">
      <alignment horizontal="center" vertical="center"/>
      <protection/>
    </xf>
    <xf numFmtId="2" fontId="1" fillId="6" borderId="3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/>
      <protection/>
    </xf>
    <xf numFmtId="172" fontId="1" fillId="6" borderId="4" xfId="0" applyNumberFormat="1" applyFont="1" applyFill="1" applyBorder="1" applyAlignment="1" applyProtection="1">
      <alignment horizontal="center" vertical="center"/>
      <protection/>
    </xf>
    <xf numFmtId="173" fontId="1" fillId="6" borderId="3" xfId="0" applyNumberFormat="1" applyFont="1" applyFill="1" applyBorder="1" applyAlignment="1" applyProtection="1">
      <alignment horizontal="center" vertical="center"/>
      <protection/>
    </xf>
    <xf numFmtId="172" fontId="1" fillId="6" borderId="5" xfId="0" applyNumberFormat="1" applyFont="1" applyFill="1" applyBorder="1" applyAlignment="1" applyProtection="1">
      <alignment horizontal="center" vertic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2" fontId="1" fillId="6" borderId="5" xfId="0" applyNumberFormat="1" applyFont="1" applyFill="1" applyBorder="1" applyAlignment="1" applyProtection="1">
      <alignment horizontal="center" vertical="center"/>
      <protection/>
    </xf>
    <xf numFmtId="0" fontId="7" fillId="6" borderId="5" xfId="0" applyFont="1" applyFill="1" applyBorder="1" applyAlignment="1" applyProtection="1">
      <alignment horizontal="right" vertical="center"/>
      <protection/>
    </xf>
    <xf numFmtId="0" fontId="4" fillId="6" borderId="5" xfId="0" applyFont="1" applyFill="1" applyBorder="1" applyAlignment="1" applyProtection="1">
      <alignment horizontal="center" vertical="center"/>
      <protection/>
    </xf>
    <xf numFmtId="2" fontId="1" fillId="8" borderId="5" xfId="0" applyNumberFormat="1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right" vertical="center"/>
      <protection/>
    </xf>
    <xf numFmtId="0" fontId="2" fillId="6" borderId="3" xfId="0" applyFont="1" applyFill="1" applyBorder="1" applyAlignment="1" applyProtection="1">
      <alignment vertical="center"/>
      <protection/>
    </xf>
    <xf numFmtId="0" fontId="4" fillId="6" borderId="3" xfId="0" applyFont="1" applyFill="1" applyBorder="1" applyAlignment="1" applyProtection="1">
      <alignment horizontal="center" vertical="center"/>
      <protection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7" borderId="0" xfId="0" applyNumberFormat="1" applyFont="1" applyFill="1" applyAlignment="1" applyProtection="1">
      <alignment horizontal="center" vertical="center"/>
      <protection locked="0"/>
    </xf>
    <xf numFmtId="2" fontId="4" fillId="9" borderId="0" xfId="0" applyNumberFormat="1" applyFont="1" applyFill="1" applyAlignment="1" applyProtection="1">
      <alignment horizontal="center" vertical="center"/>
      <protection locked="0"/>
    </xf>
    <xf numFmtId="176" fontId="1" fillId="3" borderId="0" xfId="0" applyNumberFormat="1" applyFont="1" applyFill="1" applyAlignment="1" applyProtection="1">
      <alignment horizontal="center" vertical="center"/>
      <protection locked="0"/>
    </xf>
    <xf numFmtId="172" fontId="1" fillId="6" borderId="1" xfId="0" applyNumberFormat="1" applyFont="1" applyFill="1" applyBorder="1" applyAlignment="1" applyProtection="1">
      <alignment horizontal="left" vertical="center"/>
      <protection/>
    </xf>
    <xf numFmtId="0" fontId="1" fillId="6" borderId="1" xfId="0" applyFont="1" applyFill="1" applyBorder="1" applyAlignment="1" applyProtection="1">
      <alignment vertical="center"/>
      <protection/>
    </xf>
    <xf numFmtId="0" fontId="1" fillId="6" borderId="2" xfId="0" applyFont="1" applyFill="1" applyBorder="1" applyAlignment="1" applyProtection="1">
      <alignment horizontal="center" vertical="center"/>
      <protection/>
    </xf>
    <xf numFmtId="1" fontId="1" fillId="6" borderId="3" xfId="0" applyNumberFormat="1" applyFont="1" applyFill="1" applyBorder="1" applyAlignment="1" applyProtection="1">
      <alignment horizontal="center" vertical="center"/>
      <protection/>
    </xf>
    <xf numFmtId="172" fontId="1" fillId="6" borderId="2" xfId="0" applyNumberFormat="1" applyFont="1" applyFill="1" applyBorder="1" applyAlignment="1" applyProtection="1">
      <alignment horizontal="center" vertical="center"/>
      <protection/>
    </xf>
    <xf numFmtId="1" fontId="4" fillId="6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vertical="center"/>
      <protection/>
    </xf>
    <xf numFmtId="172" fontId="1" fillId="3" borderId="0" xfId="0" applyNumberFormat="1" applyFont="1" applyFill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/>
    </xf>
    <xf numFmtId="172" fontId="1" fillId="6" borderId="0" xfId="0" applyNumberFormat="1" applyFont="1" applyFill="1" applyBorder="1" applyAlignment="1" applyProtection="1">
      <alignment horizontal="right" vertical="center"/>
      <protection/>
    </xf>
    <xf numFmtId="0" fontId="7" fillId="6" borderId="0" xfId="0" applyFont="1" applyFill="1" applyBorder="1" applyAlignment="1" applyProtection="1">
      <alignment vertical="center"/>
      <protection/>
    </xf>
    <xf numFmtId="49" fontId="2" fillId="6" borderId="0" xfId="0" applyNumberFormat="1" applyFont="1" applyFill="1" applyAlignment="1" applyProtection="1">
      <alignment horizontal="left" vertical="center"/>
      <protection/>
    </xf>
    <xf numFmtId="49" fontId="2" fillId="6" borderId="0" xfId="0" applyNumberFormat="1" applyFont="1" applyFill="1" applyBorder="1" applyAlignment="1" applyProtection="1">
      <alignment horizontal="left" vertical="center"/>
      <protection/>
    </xf>
    <xf numFmtId="2" fontId="14" fillId="10" borderId="0" xfId="0" applyNumberFormat="1" applyFont="1" applyFill="1" applyAlignment="1" applyProtection="1">
      <alignment horizontal="center" vertical="center"/>
      <protection/>
    </xf>
    <xf numFmtId="172" fontId="7" fillId="6" borderId="0" xfId="0" applyNumberFormat="1" applyFont="1" applyFill="1" applyBorder="1" applyAlignment="1" applyProtection="1">
      <alignment horizontal="right" vertical="center"/>
      <protection/>
    </xf>
    <xf numFmtId="1" fontId="1" fillId="6" borderId="1" xfId="0" applyNumberFormat="1" applyFont="1" applyFill="1" applyBorder="1" applyAlignment="1" applyProtection="1">
      <alignment horizontal="center" vertical="center"/>
      <protection/>
    </xf>
    <xf numFmtId="0" fontId="0" fillId="6" borderId="6" xfId="0" applyFill="1" applyBorder="1" applyAlignment="1" applyProtection="1">
      <alignment vertical="center"/>
      <protection/>
    </xf>
    <xf numFmtId="173" fontId="4" fillId="6" borderId="1" xfId="0" applyNumberFormat="1" applyFont="1" applyFill="1" applyBorder="1" applyAlignment="1" applyProtection="1">
      <alignment horizontal="center" vertical="center"/>
      <protection/>
    </xf>
    <xf numFmtId="2" fontId="4" fillId="6" borderId="1" xfId="0" applyNumberFormat="1" applyFont="1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horizontal="center" vertical="center"/>
      <protection/>
    </xf>
    <xf numFmtId="0" fontId="1" fillId="6" borderId="7" xfId="0" applyFont="1" applyFill="1" applyBorder="1" applyAlignment="1" applyProtection="1">
      <alignment horizontal="center" vertical="center"/>
      <protection/>
    </xf>
    <xf numFmtId="2" fontId="4" fillId="6" borderId="6" xfId="0" applyNumberFormat="1" applyFont="1" applyFill="1" applyBorder="1" applyAlignment="1" applyProtection="1">
      <alignment horizontal="center" vertical="center"/>
      <protection/>
    </xf>
    <xf numFmtId="2" fontId="1" fillId="6" borderId="6" xfId="0" applyNumberFormat="1" applyFont="1" applyFill="1" applyBorder="1" applyAlignment="1" applyProtection="1">
      <alignment horizontal="center" vertical="center"/>
      <protection/>
    </xf>
    <xf numFmtId="0" fontId="7" fillId="6" borderId="0" xfId="0" applyFont="1" applyFill="1" applyBorder="1" applyAlignment="1" applyProtection="1">
      <alignment horizontal="right" vertical="center"/>
      <protection/>
    </xf>
    <xf numFmtId="172" fontId="1" fillId="6" borderId="8" xfId="0" applyNumberFormat="1" applyFont="1" applyFill="1" applyBorder="1" applyAlignment="1" applyProtection="1">
      <alignment horizontal="center" vertical="center"/>
      <protection/>
    </xf>
    <xf numFmtId="2" fontId="1" fillId="6" borderId="9" xfId="0" applyNumberFormat="1" applyFont="1" applyFill="1" applyBorder="1" applyAlignment="1" applyProtection="1">
      <alignment horizontal="center" vertical="center"/>
      <protection/>
    </xf>
    <xf numFmtId="172" fontId="1" fillId="6" borderId="7" xfId="0" applyNumberFormat="1" applyFont="1" applyFill="1" applyBorder="1" applyAlignment="1" applyProtection="1">
      <alignment horizontal="center" vertical="center"/>
      <protection/>
    </xf>
    <xf numFmtId="172" fontId="4" fillId="6" borderId="6" xfId="0" applyNumberFormat="1" applyFont="1" applyFill="1" applyBorder="1" applyAlignment="1" applyProtection="1">
      <alignment horizontal="center" vertical="center"/>
      <protection/>
    </xf>
    <xf numFmtId="2" fontId="1" fillId="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" fontId="4" fillId="6" borderId="0" xfId="0" applyNumberFormat="1" applyFont="1" applyFill="1" applyBorder="1" applyAlignment="1" applyProtection="1">
      <alignment horizontal="right" vertical="center"/>
      <protection/>
    </xf>
    <xf numFmtId="1" fontId="7" fillId="6" borderId="0" xfId="0" applyNumberFormat="1" applyFont="1" applyFill="1" applyBorder="1" applyAlignment="1" applyProtection="1">
      <alignment horizontal="right" vertical="center"/>
      <protection/>
    </xf>
    <xf numFmtId="0" fontId="4" fillId="6" borderId="0" xfId="0" applyFont="1" applyFill="1" applyBorder="1" applyAlignment="1" applyProtection="1">
      <alignment horizontal="right" vertical="center"/>
      <protection/>
    </xf>
    <xf numFmtId="2" fontId="1" fillId="6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/>
    </xf>
    <xf numFmtId="173" fontId="1" fillId="6" borderId="0" xfId="0" applyNumberFormat="1" applyFont="1" applyFill="1" applyBorder="1" applyAlignment="1" applyProtection="1">
      <alignment horizontal="right" vertical="center"/>
      <protection/>
    </xf>
    <xf numFmtId="2" fontId="4" fillId="6" borderId="0" xfId="0" applyNumberFormat="1" applyFont="1" applyFill="1" applyBorder="1" applyAlignment="1" applyProtection="1">
      <alignment horizontal="center" vertical="center"/>
      <protection/>
    </xf>
    <xf numFmtId="172" fontId="1" fillId="6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vertical="center"/>
      <protection/>
    </xf>
    <xf numFmtId="172" fontId="18" fillId="6" borderId="6" xfId="0" applyNumberFormat="1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right" vertical="center"/>
      <protection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/>
    </xf>
    <xf numFmtId="173" fontId="1" fillId="6" borderId="0" xfId="0" applyNumberFormat="1" applyFont="1" applyFill="1" applyBorder="1" applyAlignment="1" applyProtection="1">
      <alignment horizontal="left" vertical="center"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172" fontId="1" fillId="6" borderId="0" xfId="0" applyNumberFormat="1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0" fontId="1" fillId="6" borderId="0" xfId="0" applyFont="1" applyFill="1" applyBorder="1" applyAlignment="1" applyProtection="1">
      <alignment horizontal="right" vertical="center"/>
      <protection/>
    </xf>
    <xf numFmtId="173" fontId="4" fillId="6" borderId="2" xfId="0" applyNumberFormat="1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center" vertical="center"/>
      <protection/>
    </xf>
    <xf numFmtId="173" fontId="4" fillId="5" borderId="5" xfId="0" applyNumberFormat="1" applyFont="1" applyFill="1" applyBorder="1" applyAlignment="1" applyProtection="1">
      <alignment horizontal="center" vertical="center"/>
      <protection/>
    </xf>
    <xf numFmtId="173" fontId="4" fillId="6" borderId="5" xfId="0" applyNumberFormat="1" applyFont="1" applyFill="1" applyBorder="1" applyAlignment="1" applyProtection="1">
      <alignment horizontal="center" vertical="center"/>
      <protection/>
    </xf>
    <xf numFmtId="173" fontId="1" fillId="6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/>
    </xf>
    <xf numFmtId="0" fontId="14" fillId="6" borderId="8" xfId="0" applyFont="1" applyFill="1" applyBorder="1" applyAlignment="1" applyProtection="1">
      <alignment horizontal="center" vertical="center"/>
      <protection/>
    </xf>
    <xf numFmtId="0" fontId="14" fillId="6" borderId="4" xfId="0" applyFont="1" applyFill="1" applyBorder="1" applyAlignment="1" applyProtection="1">
      <alignment horizontal="left" vertical="center"/>
      <protection/>
    </xf>
    <xf numFmtId="0" fontId="1" fillId="3" borderId="5" xfId="0" applyFont="1" applyFill="1" applyBorder="1" applyAlignment="1" applyProtection="1">
      <alignment horizontal="center" vertical="center"/>
      <protection locked="0"/>
    </xf>
    <xf numFmtId="173" fontId="1" fillId="3" borderId="5" xfId="0" applyNumberFormat="1" applyFont="1" applyFill="1" applyBorder="1" applyAlignment="1" applyProtection="1">
      <alignment horizontal="center" vertical="center"/>
      <protection locked="0"/>
    </xf>
    <xf numFmtId="11" fontId="1" fillId="6" borderId="2" xfId="0" applyNumberFormat="1" applyFont="1" applyFill="1" applyBorder="1" applyAlignment="1" applyProtection="1">
      <alignment horizontal="center" vertical="center"/>
      <protection/>
    </xf>
    <xf numFmtId="2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14" fillId="6" borderId="4" xfId="0" applyFont="1" applyFill="1" applyBorder="1" applyAlignment="1" applyProtection="1">
      <alignment horizontal="center" vertical="center"/>
      <protection/>
    </xf>
    <xf numFmtId="11" fontId="4" fillId="5" borderId="9" xfId="0" applyNumberFormat="1" applyFont="1" applyFill="1" applyBorder="1" applyAlignment="1" applyProtection="1">
      <alignment horizontal="center" vertical="center"/>
      <protection/>
    </xf>
    <xf numFmtId="173" fontId="1" fillId="6" borderId="11" xfId="0" applyNumberFormat="1" applyFont="1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vertical="center"/>
      <protection/>
    </xf>
    <xf numFmtId="173" fontId="1" fillId="3" borderId="3" xfId="0" applyNumberFormat="1" applyFont="1" applyFill="1" applyBorder="1" applyAlignment="1" applyProtection="1">
      <alignment horizontal="center" vertical="center"/>
      <protection locked="0"/>
    </xf>
    <xf numFmtId="2" fontId="4" fillId="5" borderId="9" xfId="0" applyNumberFormat="1" applyFont="1" applyFill="1" applyBorder="1" applyAlignment="1" applyProtection="1">
      <alignment horizontal="center" vertical="center"/>
      <protection/>
    </xf>
    <xf numFmtId="2" fontId="1" fillId="6" borderId="11" xfId="0" applyNumberFormat="1" applyFont="1" applyFill="1" applyBorder="1" applyAlignment="1" applyProtection="1">
      <alignment horizontal="center" vertical="center"/>
      <protection/>
    </xf>
    <xf numFmtId="173" fontId="1" fillId="0" borderId="11" xfId="0" applyNumberFormat="1" applyFont="1" applyBorder="1" applyAlignment="1" applyProtection="1">
      <alignment horizontal="center" vertical="center"/>
      <protection/>
    </xf>
    <xf numFmtId="173" fontId="1" fillId="11" borderId="11" xfId="0" applyNumberFormat="1" applyFont="1" applyFill="1" applyBorder="1" applyAlignment="1" applyProtection="1">
      <alignment horizontal="center" vertical="center"/>
      <protection/>
    </xf>
    <xf numFmtId="11" fontId="1" fillId="6" borderId="3" xfId="0" applyNumberFormat="1" applyFont="1" applyFill="1" applyBorder="1" applyAlignment="1" applyProtection="1">
      <alignment horizontal="center" vertical="center"/>
      <protection/>
    </xf>
    <xf numFmtId="2" fontId="4" fillId="5" borderId="13" xfId="0" applyNumberFormat="1" applyFont="1" applyFill="1" applyBorder="1" applyAlignment="1" applyProtection="1">
      <alignment horizontal="center" vertical="center"/>
      <protection/>
    </xf>
    <xf numFmtId="2" fontId="1" fillId="0" borderId="5" xfId="0" applyNumberFormat="1" applyFont="1" applyBorder="1" applyAlignment="1" applyProtection="1">
      <alignment horizontal="center" vertical="center"/>
      <protection/>
    </xf>
    <xf numFmtId="0" fontId="0" fillId="6" borderId="13" xfId="0" applyFill="1" applyBorder="1" applyAlignment="1" applyProtection="1">
      <alignment vertical="center"/>
      <protection/>
    </xf>
    <xf numFmtId="2" fontId="1" fillId="12" borderId="0" xfId="0" applyNumberFormat="1" applyFont="1" applyFill="1" applyAlignment="1" applyProtection="1">
      <alignment horizontal="center" vertical="center"/>
      <protection/>
    </xf>
    <xf numFmtId="172" fontId="20" fillId="6" borderId="0" xfId="0" applyNumberFormat="1" applyFont="1" applyFill="1" applyAlignment="1" applyProtection="1">
      <alignment horizontal="left" vertical="center"/>
      <protection/>
    </xf>
    <xf numFmtId="173" fontId="20" fillId="6" borderId="0" xfId="0" applyNumberFormat="1" applyFont="1" applyFill="1" applyAlignment="1" applyProtection="1">
      <alignment horizontal="left" vertical="center"/>
      <protection/>
    </xf>
    <xf numFmtId="1" fontId="20" fillId="6" borderId="0" xfId="0" applyNumberFormat="1" applyFont="1" applyFill="1" applyAlignment="1" applyProtection="1">
      <alignment horizontal="left" vertical="center"/>
      <protection/>
    </xf>
    <xf numFmtId="2" fontId="20" fillId="6" borderId="0" xfId="0" applyNumberFormat="1" applyFont="1" applyFill="1" applyAlignment="1" applyProtection="1">
      <alignment horizontal="left" vertical="center"/>
      <protection/>
    </xf>
    <xf numFmtId="2" fontId="20" fillId="6" borderId="1" xfId="0" applyNumberFormat="1" applyFont="1" applyFill="1" applyBorder="1" applyAlignment="1" applyProtection="1">
      <alignment horizontal="left" vertical="center"/>
      <protection/>
    </xf>
    <xf numFmtId="2" fontId="1" fillId="5" borderId="13" xfId="0" applyNumberFormat="1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7" fillId="6" borderId="0" xfId="0" applyFont="1" applyFill="1" applyBorder="1" applyAlignment="1" applyProtection="1">
      <alignment horizontal="left" vertical="center"/>
      <protection/>
    </xf>
    <xf numFmtId="0" fontId="2" fillId="6" borderId="1" xfId="0" applyFont="1" applyFill="1" applyBorder="1" applyAlignment="1" applyProtection="1">
      <alignment vertical="center"/>
      <protection/>
    </xf>
    <xf numFmtId="172" fontId="18" fillId="6" borderId="0" xfId="0" applyNumberFormat="1" applyFont="1" applyFill="1" applyBorder="1" applyAlignment="1" applyProtection="1">
      <alignment horizontal="center" vertical="center"/>
      <protection/>
    </xf>
    <xf numFmtId="172" fontId="1" fillId="6" borderId="6" xfId="0" applyNumberFormat="1" applyFont="1" applyFill="1" applyBorder="1" applyAlignment="1" applyProtection="1">
      <alignment horizontal="right" vertical="center"/>
      <protection/>
    </xf>
    <xf numFmtId="172" fontId="1" fillId="6" borderId="4" xfId="0" applyNumberFormat="1" applyFont="1" applyFill="1" applyBorder="1" applyAlignment="1" applyProtection="1">
      <alignment horizontal="right" vertical="center"/>
      <protection/>
    </xf>
    <xf numFmtId="0" fontId="7" fillId="6" borderId="6" xfId="0" applyFont="1" applyFill="1" applyBorder="1" applyAlignment="1" applyProtection="1">
      <alignment horizontal="left" vertical="center"/>
      <protection/>
    </xf>
    <xf numFmtId="1" fontId="7" fillId="0" borderId="0" xfId="0" applyNumberFormat="1" applyFont="1" applyBorder="1" applyAlignment="1" applyProtection="1">
      <alignment horizontal="right" vertical="center"/>
      <protection/>
    </xf>
    <xf numFmtId="172" fontId="3" fillId="6" borderId="3" xfId="0" applyNumberFormat="1" applyFont="1" applyFill="1" applyBorder="1" applyAlignment="1" applyProtection="1">
      <alignment horizontal="center" vertical="center"/>
      <protection/>
    </xf>
    <xf numFmtId="172" fontId="3" fillId="6" borderId="2" xfId="0" applyNumberFormat="1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173" fontId="4" fillId="5" borderId="1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/>
    </xf>
    <xf numFmtId="2" fontId="1" fillId="6" borderId="0" xfId="0" applyNumberFormat="1" applyFont="1" applyFill="1" applyBorder="1" applyAlignment="1" applyProtection="1">
      <alignment horizontal="center" vertical="center"/>
      <protection/>
    </xf>
    <xf numFmtId="174" fontId="1" fillId="6" borderId="0" xfId="0" applyNumberFormat="1" applyFont="1" applyFill="1" applyBorder="1" applyAlignment="1" applyProtection="1">
      <alignment horizontal="center" vertical="center"/>
      <protection/>
    </xf>
    <xf numFmtId="49" fontId="4" fillId="6" borderId="0" xfId="0" applyNumberFormat="1" applyFont="1" applyFill="1" applyBorder="1" applyAlignment="1" applyProtection="1">
      <alignment horizontal="left" vertical="center"/>
      <protection/>
    </xf>
    <xf numFmtId="173" fontId="1" fillId="5" borderId="3" xfId="0" applyNumberFormat="1" applyFont="1" applyFill="1" applyBorder="1" applyAlignment="1" applyProtection="1">
      <alignment horizontal="center" vertical="center"/>
      <protection/>
    </xf>
    <xf numFmtId="0" fontId="1" fillId="6" borderId="14" xfId="0" applyFont="1" applyFill="1" applyBorder="1" applyAlignment="1" applyProtection="1">
      <alignment horizontal="center" vertical="center"/>
      <protection/>
    </xf>
    <xf numFmtId="172" fontId="1" fillId="6" borderId="15" xfId="0" applyNumberFormat="1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173" fontId="2" fillId="6" borderId="0" xfId="0" applyNumberFormat="1" applyFont="1" applyFill="1" applyAlignment="1" applyProtection="1">
      <alignment horizontal="center" vertical="center"/>
      <protection/>
    </xf>
    <xf numFmtId="172" fontId="1" fillId="6" borderId="3" xfId="0" applyNumberFormat="1" applyFont="1" applyFill="1" applyBorder="1" applyAlignment="1" applyProtection="1">
      <alignment horizontal="left" vertical="center"/>
      <protection/>
    </xf>
    <xf numFmtId="173" fontId="4" fillId="5" borderId="3" xfId="0" applyNumberFormat="1" applyFont="1" applyFill="1" applyBorder="1" applyAlignment="1" applyProtection="1">
      <alignment horizontal="center" vertical="center"/>
      <protection/>
    </xf>
    <xf numFmtId="0" fontId="7" fillId="6" borderId="4" xfId="0" applyFont="1" applyFill="1" applyBorder="1" applyAlignment="1" applyProtection="1">
      <alignment horizontal="right" vertical="center"/>
      <protection/>
    </xf>
    <xf numFmtId="2" fontId="2" fillId="6" borderId="0" xfId="0" applyNumberFormat="1" applyFont="1" applyFill="1" applyAlignment="1" applyProtection="1">
      <alignment horizontal="center" vertical="center"/>
      <protection/>
    </xf>
    <xf numFmtId="0" fontId="1" fillId="6" borderId="6" xfId="0" applyFont="1" applyFill="1" applyBorder="1" applyAlignment="1" applyProtection="1">
      <alignment vertical="center"/>
      <protection/>
    </xf>
    <xf numFmtId="2" fontId="14" fillId="6" borderId="0" xfId="0" applyNumberFormat="1" applyFont="1" applyFill="1" applyBorder="1" applyAlignment="1" applyProtection="1">
      <alignment horizontal="left" vertical="center"/>
      <protection/>
    </xf>
    <xf numFmtId="0" fontId="1" fillId="6" borderId="6" xfId="0" applyFont="1" applyFill="1" applyBorder="1" applyAlignment="1" applyProtection="1">
      <alignment horizontal="center" vertical="center"/>
      <protection/>
    </xf>
    <xf numFmtId="2" fontId="17" fillId="6" borderId="0" xfId="0" applyNumberFormat="1" applyFont="1" applyFill="1" applyAlignment="1" applyProtection="1">
      <alignment horizontal="left" vertical="center"/>
      <protection/>
    </xf>
    <xf numFmtId="0" fontId="7" fillId="6" borderId="0" xfId="0" applyFont="1" applyFill="1" applyAlignment="1" applyProtection="1">
      <alignment vertical="center"/>
      <protection/>
    </xf>
    <xf numFmtId="3" fontId="4" fillId="5" borderId="1" xfId="0" applyNumberFormat="1" applyFont="1" applyFill="1" applyBorder="1" applyAlignment="1" applyProtection="1">
      <alignment horizontal="center" vertical="center"/>
      <protection/>
    </xf>
    <xf numFmtId="3" fontId="4" fillId="5" borderId="0" xfId="0" applyNumberFormat="1" applyFont="1" applyFill="1" applyBorder="1" applyAlignment="1" applyProtection="1">
      <alignment horizontal="center" vertical="center"/>
      <protection/>
    </xf>
    <xf numFmtId="3" fontId="1" fillId="6" borderId="0" xfId="0" applyNumberFormat="1" applyFont="1" applyFill="1" applyBorder="1" applyAlignment="1" applyProtection="1">
      <alignment horizontal="center" vertical="center"/>
      <protection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center"/>
      <protection locked="0"/>
    </xf>
    <xf numFmtId="1" fontId="7" fillId="6" borderId="0" xfId="0" applyNumberFormat="1" applyFont="1" applyFill="1" applyAlignment="1" applyProtection="1">
      <alignment horizontal="left" vertical="center"/>
      <protection/>
    </xf>
    <xf numFmtId="1" fontId="4" fillId="6" borderId="0" xfId="0" applyNumberFormat="1" applyFont="1" applyFill="1" applyBorder="1" applyAlignment="1" applyProtection="1">
      <alignment horizontal="left" vertical="center"/>
      <protection/>
    </xf>
    <xf numFmtId="1" fontId="4" fillId="6" borderId="0" xfId="0" applyNumberFormat="1" applyFont="1" applyFill="1" applyAlignment="1" applyProtection="1">
      <alignment horizontal="left" vertical="center"/>
      <protection/>
    </xf>
    <xf numFmtId="0" fontId="4" fillId="6" borderId="0" xfId="0" applyFont="1" applyFill="1" applyBorder="1" applyAlignment="1" applyProtection="1">
      <alignment horizontal="left" vertical="center"/>
      <protection/>
    </xf>
    <xf numFmtId="0" fontId="2" fillId="6" borderId="9" xfId="0" applyFont="1" applyFill="1" applyBorder="1" applyAlignment="1" applyProtection="1">
      <alignment horizontal="right" vertical="center"/>
      <protection/>
    </xf>
    <xf numFmtId="172" fontId="7" fillId="6" borderId="0" xfId="0" applyNumberFormat="1" applyFont="1" applyFill="1" applyAlignment="1" applyProtection="1">
      <alignment horizontal="left" vertical="center"/>
      <protection/>
    </xf>
    <xf numFmtId="172" fontId="4" fillId="6" borderId="3" xfId="0" applyNumberFormat="1" applyFont="1" applyFill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left" vertical="center"/>
      <protection/>
    </xf>
    <xf numFmtId="0" fontId="4" fillId="6" borderId="0" xfId="0" applyFont="1" applyFill="1" applyAlignment="1" applyProtection="1">
      <alignment horizontal="left" vertical="center"/>
      <protection/>
    </xf>
    <xf numFmtId="49" fontId="4" fillId="6" borderId="0" xfId="0" applyNumberFormat="1" applyFont="1" applyFill="1" applyAlignment="1" applyProtection="1">
      <alignment horizontal="left" vertical="center"/>
      <protection/>
    </xf>
    <xf numFmtId="172" fontId="4" fillId="6" borderId="0" xfId="0" applyNumberFormat="1" applyFont="1" applyFill="1" applyBorder="1" applyAlignment="1" applyProtection="1">
      <alignment horizontal="left" vertical="center"/>
      <protection/>
    </xf>
    <xf numFmtId="1" fontId="4" fillId="6" borderId="9" xfId="0" applyNumberFormat="1" applyFont="1" applyFill="1" applyBorder="1" applyAlignment="1" applyProtection="1">
      <alignment horizontal="right" vertical="center"/>
      <protection/>
    </xf>
    <xf numFmtId="0" fontId="0" fillId="6" borderId="9" xfId="0" applyFill="1" applyBorder="1" applyAlignment="1" applyProtection="1">
      <alignment vertical="center"/>
      <protection/>
    </xf>
    <xf numFmtId="0" fontId="1" fillId="6" borderId="13" xfId="0" applyFont="1" applyFill="1" applyBorder="1" applyAlignment="1" applyProtection="1">
      <alignment horizontal="right"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center" vertical="center"/>
      <protection/>
    </xf>
    <xf numFmtId="0" fontId="2" fillId="13" borderId="0" xfId="0" applyFont="1" applyFill="1" applyAlignment="1" applyProtection="1">
      <alignment vertical="center"/>
      <protection/>
    </xf>
    <xf numFmtId="1" fontId="4" fillId="13" borderId="0" xfId="0" applyNumberFormat="1" applyFont="1" applyFill="1" applyBorder="1" applyAlignment="1" applyProtection="1">
      <alignment horizontal="left" vertical="center"/>
      <protection/>
    </xf>
    <xf numFmtId="0" fontId="1" fillId="13" borderId="0" xfId="0" applyFont="1" applyFill="1" applyBorder="1" applyAlignment="1" applyProtection="1">
      <alignment vertical="center"/>
      <protection/>
    </xf>
    <xf numFmtId="0" fontId="4" fillId="13" borderId="0" xfId="0" applyFont="1" applyFill="1" applyBorder="1" applyAlignment="1" applyProtection="1">
      <alignment horizontal="left" vertical="center"/>
      <protection/>
    </xf>
    <xf numFmtId="0" fontId="1" fillId="13" borderId="0" xfId="0" applyFont="1" applyFill="1" applyAlignment="1" applyProtection="1">
      <alignment vertical="center"/>
      <protection/>
    </xf>
    <xf numFmtId="0" fontId="2" fillId="13" borderId="1" xfId="0" applyFont="1" applyFill="1" applyBorder="1" applyAlignment="1" applyProtection="1">
      <alignment vertical="center"/>
      <protection/>
    </xf>
    <xf numFmtId="172" fontId="1" fillId="13" borderId="1" xfId="0" applyNumberFormat="1" applyFont="1" applyFill="1" applyBorder="1" applyAlignment="1" applyProtection="1">
      <alignment horizontal="center" vertical="center"/>
      <protection/>
    </xf>
    <xf numFmtId="0" fontId="0" fillId="13" borderId="1" xfId="0" applyFill="1" applyBorder="1" applyAlignment="1" applyProtection="1">
      <alignment vertical="center"/>
      <protection/>
    </xf>
    <xf numFmtId="0" fontId="2" fillId="13" borderId="1" xfId="0" applyFont="1" applyFill="1" applyBorder="1" applyAlignment="1" applyProtection="1">
      <alignment horizontal="left" vertical="center"/>
      <protection/>
    </xf>
    <xf numFmtId="172" fontId="2" fillId="13" borderId="1" xfId="0" applyNumberFormat="1" applyFont="1" applyFill="1" applyBorder="1" applyAlignment="1" applyProtection="1">
      <alignment horizontal="left" vertical="center"/>
      <protection/>
    </xf>
    <xf numFmtId="2" fontId="1" fillId="13" borderId="1" xfId="0" applyNumberFormat="1" applyFont="1" applyFill="1" applyBorder="1" applyAlignment="1" applyProtection="1">
      <alignment vertical="center"/>
      <protection/>
    </xf>
    <xf numFmtId="172" fontId="1" fillId="13" borderId="1" xfId="0" applyNumberFormat="1" applyFont="1" applyFill="1" applyBorder="1" applyAlignment="1" applyProtection="1">
      <alignment vertical="center"/>
      <protection/>
    </xf>
    <xf numFmtId="0" fontId="1" fillId="13" borderId="1" xfId="0" applyFont="1" applyFill="1" applyBorder="1" applyAlignment="1" applyProtection="1">
      <alignment vertical="center"/>
      <protection/>
    </xf>
    <xf numFmtId="173" fontId="2" fillId="13" borderId="1" xfId="0" applyNumberFormat="1" applyFont="1" applyFill="1" applyBorder="1" applyAlignment="1" applyProtection="1">
      <alignment horizontal="left" vertical="center"/>
      <protection/>
    </xf>
    <xf numFmtId="172" fontId="2" fillId="13" borderId="1" xfId="0" applyNumberFormat="1" applyFont="1" applyFill="1" applyBorder="1" applyAlignment="1" applyProtection="1">
      <alignment horizontal="center" vertical="center"/>
      <protection/>
    </xf>
    <xf numFmtId="2" fontId="1" fillId="13" borderId="1" xfId="0" applyNumberFormat="1" applyFont="1" applyFill="1" applyBorder="1" applyAlignment="1" applyProtection="1">
      <alignment horizontal="center" vertical="center"/>
      <protection/>
    </xf>
    <xf numFmtId="0" fontId="2" fillId="13" borderId="1" xfId="0" applyFont="1" applyFill="1" applyBorder="1" applyAlignment="1" applyProtection="1">
      <alignment horizontal="center" vertical="center"/>
      <protection/>
    </xf>
    <xf numFmtId="0" fontId="1" fillId="13" borderId="1" xfId="0" applyFont="1" applyFill="1" applyBorder="1" applyAlignment="1" applyProtection="1">
      <alignment horizontal="center" vertical="center"/>
      <protection/>
    </xf>
    <xf numFmtId="0" fontId="3" fillId="13" borderId="1" xfId="0" applyFont="1" applyFill="1" applyBorder="1" applyAlignment="1" applyProtection="1">
      <alignment horizontal="center" vertical="center"/>
      <protection/>
    </xf>
    <xf numFmtId="173" fontId="1" fillId="13" borderId="1" xfId="0" applyNumberFormat="1" applyFont="1" applyFill="1" applyBorder="1" applyAlignment="1" applyProtection="1">
      <alignment horizontal="right" vertical="center"/>
      <protection/>
    </xf>
    <xf numFmtId="2" fontId="1" fillId="13" borderId="1" xfId="0" applyNumberFormat="1" applyFont="1" applyFill="1" applyBorder="1" applyAlignment="1" applyProtection="1">
      <alignment horizontal="right" vertical="center"/>
      <protection/>
    </xf>
    <xf numFmtId="0" fontId="0" fillId="13" borderId="1" xfId="0" applyFill="1" applyBorder="1" applyAlignment="1" applyProtection="1">
      <alignment horizontal="center" vertical="center"/>
      <protection/>
    </xf>
    <xf numFmtId="172" fontId="4" fillId="13" borderId="1" xfId="0" applyNumberFormat="1" applyFont="1" applyFill="1" applyBorder="1" applyAlignment="1" applyProtection="1">
      <alignment horizontal="left" vertical="center"/>
      <protection/>
    </xf>
    <xf numFmtId="172" fontId="1" fillId="13" borderId="1" xfId="0" applyNumberFormat="1" applyFont="1" applyFill="1" applyBorder="1" applyAlignment="1" applyProtection="1">
      <alignment horizontal="right" vertical="center"/>
      <protection/>
    </xf>
    <xf numFmtId="0" fontId="2" fillId="13" borderId="0" xfId="0" applyFont="1" applyFill="1" applyBorder="1" applyAlignment="1" applyProtection="1">
      <alignment vertical="center"/>
      <protection/>
    </xf>
    <xf numFmtId="0" fontId="7" fillId="6" borderId="10" xfId="0" applyFont="1" applyFill="1" applyBorder="1" applyAlignment="1" applyProtection="1">
      <alignment horizontal="left" vertical="center"/>
      <protection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="130" zoomScaleNormal="130" workbookViewId="0" topLeftCell="A53">
      <selection activeCell="K68" sqref="K68"/>
    </sheetView>
  </sheetViews>
  <sheetFormatPr defaultColWidth="11.421875" defaultRowHeight="12" customHeight="1"/>
  <cols>
    <col min="1" max="1" width="3.7109375" style="7" customWidth="1"/>
    <col min="2" max="3" width="14.7109375" style="21" customWidth="1"/>
    <col min="4" max="10" width="8.7109375" style="7" customWidth="1"/>
    <col min="11" max="16384" width="11.57421875" style="7" customWidth="1"/>
  </cols>
  <sheetData>
    <row r="1" spans="1:10" ht="12" customHeight="1">
      <c r="A1" s="11">
        <v>1</v>
      </c>
      <c r="B1" s="243" t="s">
        <v>24</v>
      </c>
      <c r="C1" s="243"/>
      <c r="D1" s="244"/>
      <c r="E1" s="267" t="s">
        <v>22</v>
      </c>
      <c r="F1" s="245"/>
      <c r="G1" s="245"/>
      <c r="H1" s="246"/>
      <c r="I1" s="243" t="s">
        <v>23</v>
      </c>
      <c r="J1" s="247"/>
    </row>
    <row r="2" spans="1:10" ht="12" customHeight="1">
      <c r="A2" s="11">
        <v>2</v>
      </c>
      <c r="B2" s="227" t="s">
        <v>239</v>
      </c>
      <c r="C2" s="38"/>
      <c r="D2" s="85" t="s">
        <v>25</v>
      </c>
      <c r="E2" s="85" t="s">
        <v>26</v>
      </c>
      <c r="F2" s="22" t="s">
        <v>27</v>
      </c>
      <c r="G2" s="26"/>
      <c r="H2" s="85" t="s">
        <v>28</v>
      </c>
      <c r="I2" s="22" t="s">
        <v>29</v>
      </c>
      <c r="J2" s="78" t="s">
        <v>30</v>
      </c>
    </row>
    <row r="3" spans="1:10" ht="12" customHeight="1">
      <c r="A3" s="11">
        <v>3</v>
      </c>
      <c r="B3" s="218" t="s">
        <v>238</v>
      </c>
      <c r="D3" s="158">
        <v>220</v>
      </c>
      <c r="E3" s="158">
        <v>110</v>
      </c>
      <c r="F3" s="220">
        <f>(D3*1000)/E3</f>
        <v>2000</v>
      </c>
      <c r="G3" s="221"/>
      <c r="H3" s="222">
        <v>1000</v>
      </c>
      <c r="I3" s="138">
        <v>5</v>
      </c>
      <c r="J3" s="159">
        <f>H3/I3</f>
        <v>200</v>
      </c>
    </row>
    <row r="4" spans="1:10" ht="12" customHeight="1">
      <c r="A4" s="11">
        <v>4</v>
      </c>
      <c r="B4" s="194" t="s">
        <v>167</v>
      </c>
      <c r="C4" s="268"/>
      <c r="D4" s="269">
        <v>1.5</v>
      </c>
      <c r="E4" s="20"/>
      <c r="F4" s="20"/>
      <c r="G4" s="157"/>
      <c r="H4" s="113"/>
      <c r="I4" s="157"/>
      <c r="J4" s="113"/>
    </row>
    <row r="5" spans="1:10" ht="12" customHeight="1">
      <c r="A5" s="11">
        <v>5</v>
      </c>
      <c r="B5" s="248" t="s">
        <v>150</v>
      </c>
      <c r="C5" s="248"/>
      <c r="D5" s="249"/>
      <c r="E5" s="249"/>
      <c r="F5" s="250"/>
      <c r="G5" s="251" t="s">
        <v>165</v>
      </c>
      <c r="H5" s="252"/>
      <c r="I5" s="251" t="s">
        <v>166</v>
      </c>
      <c r="J5" s="251"/>
    </row>
    <row r="6" spans="1:10" ht="12" customHeight="1">
      <c r="A6" s="11">
        <v>6</v>
      </c>
      <c r="B6" s="229" t="s">
        <v>183</v>
      </c>
      <c r="C6" s="35"/>
      <c r="D6" s="131" t="s">
        <v>31</v>
      </c>
      <c r="E6" s="22" t="s">
        <v>34</v>
      </c>
      <c r="F6" s="21"/>
      <c r="G6" s="77" t="s">
        <v>32</v>
      </c>
      <c r="H6" s="23" t="s">
        <v>33</v>
      </c>
      <c r="I6" s="77" t="s">
        <v>35</v>
      </c>
      <c r="J6" s="23" t="s">
        <v>36</v>
      </c>
    </row>
    <row r="7" spans="1:10" ht="12" customHeight="1">
      <c r="A7" s="11">
        <v>7</v>
      </c>
      <c r="C7" s="38" t="s">
        <v>223</v>
      </c>
      <c r="D7" s="132">
        <v>250</v>
      </c>
      <c r="E7" s="31">
        <f>D7*1000000/(F3*J3)</f>
        <v>625</v>
      </c>
      <c r="F7" s="21"/>
      <c r="G7" s="80">
        <f>D7-H8</f>
        <v>246.25</v>
      </c>
      <c r="H7" s="25">
        <f>D7+H8</f>
        <v>253.75</v>
      </c>
      <c r="I7" s="83">
        <f>E7-J8</f>
        <v>615.625</v>
      </c>
      <c r="J7" s="31">
        <f>E7+J8</f>
        <v>634.375</v>
      </c>
    </row>
    <row r="8" spans="1:10" ht="12" customHeight="1">
      <c r="A8" s="11">
        <v>8</v>
      </c>
      <c r="B8" s="105"/>
      <c r="C8" s="105"/>
      <c r="D8" s="133"/>
      <c r="E8" s="49"/>
      <c r="F8" s="26"/>
      <c r="G8" s="27" t="s">
        <v>221</v>
      </c>
      <c r="H8" s="140">
        <f>D7*$D$4/100</f>
        <v>3.75</v>
      </c>
      <c r="I8" s="139"/>
      <c r="J8" s="28">
        <f>E7*$D$4/100</f>
        <v>9.375</v>
      </c>
    </row>
    <row r="9" spans="1:10" ht="12" customHeight="1">
      <c r="A9" s="11">
        <v>9</v>
      </c>
      <c r="B9" s="228" t="s">
        <v>185</v>
      </c>
      <c r="C9" s="102"/>
      <c r="D9" s="71" t="s">
        <v>206</v>
      </c>
      <c r="E9" s="71" t="s">
        <v>207</v>
      </c>
      <c r="F9" s="69"/>
      <c r="G9" s="101" t="s">
        <v>208</v>
      </c>
      <c r="H9" s="79" t="s">
        <v>209</v>
      </c>
      <c r="I9" s="101" t="s">
        <v>210</v>
      </c>
      <c r="J9" s="79" t="s">
        <v>211</v>
      </c>
    </row>
    <row r="10" spans="1:10" ht="12" customHeight="1">
      <c r="A10" s="11">
        <v>10</v>
      </c>
      <c r="B10" s="227"/>
      <c r="C10" s="38" t="s">
        <v>223</v>
      </c>
      <c r="D10" s="132">
        <v>150</v>
      </c>
      <c r="E10" s="31">
        <f>D10*1000000/(F3*J3)</f>
        <v>375</v>
      </c>
      <c r="F10" s="21"/>
      <c r="G10" s="80">
        <f>D10-H11</f>
        <v>147.75</v>
      </c>
      <c r="H10" s="25">
        <f>D10+H11</f>
        <v>152.25</v>
      </c>
      <c r="I10" s="83">
        <f>E10-J11</f>
        <v>369.375</v>
      </c>
      <c r="J10" s="31">
        <f>E10+J11</f>
        <v>380.625</v>
      </c>
    </row>
    <row r="11" spans="1:10" ht="12" customHeight="1">
      <c r="A11" s="11">
        <v>11</v>
      </c>
      <c r="B11" s="105"/>
      <c r="C11" s="105"/>
      <c r="D11" s="133"/>
      <c r="E11" s="49"/>
      <c r="F11" s="29"/>
      <c r="G11" s="113"/>
      <c r="H11" s="140">
        <f>D10*$D$4/100</f>
        <v>2.25</v>
      </c>
      <c r="I11" s="139"/>
      <c r="J11" s="28">
        <f>E10*$D$4/100</f>
        <v>5.625</v>
      </c>
    </row>
    <row r="12" spans="1:10" ht="12" customHeight="1">
      <c r="A12" s="11">
        <v>12</v>
      </c>
      <c r="B12" s="228" t="s">
        <v>184</v>
      </c>
      <c r="C12" s="102"/>
      <c r="D12" s="71" t="s">
        <v>37</v>
      </c>
      <c r="E12" s="71" t="s">
        <v>39</v>
      </c>
      <c r="F12" s="69"/>
      <c r="G12" s="99" t="s">
        <v>37</v>
      </c>
      <c r="H12" s="71" t="s">
        <v>37</v>
      </c>
      <c r="I12" s="99" t="s">
        <v>39</v>
      </c>
      <c r="J12" s="71" t="s">
        <v>39</v>
      </c>
    </row>
    <row r="13" spans="1:10" ht="12" customHeight="1">
      <c r="A13" s="11">
        <v>13</v>
      </c>
      <c r="B13" s="227"/>
      <c r="C13" s="38" t="s">
        <v>223</v>
      </c>
      <c r="D13" s="132">
        <v>230</v>
      </c>
      <c r="E13" s="25">
        <f>D13*1000/F3</f>
        <v>115</v>
      </c>
      <c r="F13" s="21"/>
      <c r="G13" s="80">
        <f>D13-H14</f>
        <v>226.55</v>
      </c>
      <c r="H13" s="25">
        <f>D13+H14</f>
        <v>233.45</v>
      </c>
      <c r="I13" s="80">
        <f>E13-J14</f>
        <v>113.275</v>
      </c>
      <c r="J13" s="25">
        <f>E13+J14</f>
        <v>116.725</v>
      </c>
    </row>
    <row r="14" spans="1:10" ht="12" customHeight="1">
      <c r="A14" s="11">
        <v>14</v>
      </c>
      <c r="B14" s="128"/>
      <c r="C14" s="128"/>
      <c r="D14" s="64"/>
      <c r="E14" s="31"/>
      <c r="F14" s="29"/>
      <c r="G14" s="113"/>
      <c r="H14" s="140">
        <f>D13*$D$4/100</f>
        <v>3.45</v>
      </c>
      <c r="I14" s="139"/>
      <c r="J14" s="28">
        <f>E13*$D$4/100</f>
        <v>1.725</v>
      </c>
    </row>
    <row r="15" spans="1:10" ht="12" customHeight="1">
      <c r="A15" s="11">
        <v>15</v>
      </c>
      <c r="B15" s="228" t="s">
        <v>52</v>
      </c>
      <c r="C15" s="102"/>
      <c r="D15" s="71" t="s">
        <v>38</v>
      </c>
      <c r="E15" s="71" t="s">
        <v>40</v>
      </c>
      <c r="F15" s="69"/>
      <c r="G15" s="99" t="s">
        <v>38</v>
      </c>
      <c r="H15" s="71" t="s">
        <v>38</v>
      </c>
      <c r="I15" s="99" t="s">
        <v>40</v>
      </c>
      <c r="J15" s="71" t="s">
        <v>40</v>
      </c>
    </row>
    <row r="16" spans="1:10" ht="12" customHeight="1">
      <c r="A16" s="11">
        <v>16</v>
      </c>
      <c r="B16" s="128"/>
      <c r="C16" s="128"/>
      <c r="D16" s="65">
        <f>D7*1000000/(SQRT(3)*E19*D13*1000)</f>
        <v>731.8481839392811</v>
      </c>
      <c r="E16" s="23">
        <f>D16/J3</f>
        <v>3.6592409196964053</v>
      </c>
      <c r="G16" s="80">
        <f>D16-H17</f>
        <v>720.8704611801918</v>
      </c>
      <c r="H16" s="25">
        <f>D16+H17</f>
        <v>742.8259066983703</v>
      </c>
      <c r="I16" s="77">
        <f>E16-J17</f>
        <v>3.6043523059009592</v>
      </c>
      <c r="J16" s="23">
        <f>E16+J17</f>
        <v>3.7141295334918514</v>
      </c>
    </row>
    <row r="17" spans="1:10" ht="12" customHeight="1">
      <c r="A17" s="11">
        <v>17</v>
      </c>
      <c r="B17" s="128"/>
      <c r="C17" s="128"/>
      <c r="D17" s="134"/>
      <c r="E17" s="24"/>
      <c r="F17" s="29"/>
      <c r="G17" s="105"/>
      <c r="H17" s="191">
        <f>D16*$D$4/100</f>
        <v>10.977722759089215</v>
      </c>
      <c r="I17" s="139"/>
      <c r="J17" s="28">
        <f>E16*$D$4/100</f>
        <v>0.05488861379544608</v>
      </c>
    </row>
    <row r="18" spans="1:10" ht="12" customHeight="1">
      <c r="A18" s="11">
        <v>18</v>
      </c>
      <c r="B18" s="230" t="s">
        <v>41</v>
      </c>
      <c r="C18" s="102"/>
      <c r="D18" s="79" t="s">
        <v>172</v>
      </c>
      <c r="E18" s="79" t="s">
        <v>43</v>
      </c>
      <c r="F18" s="101" t="s">
        <v>42</v>
      </c>
      <c r="G18" s="206" t="s">
        <v>157</v>
      </c>
      <c r="H18" s="207" t="s">
        <v>43</v>
      </c>
      <c r="I18" s="206" t="s">
        <v>158</v>
      </c>
      <c r="J18" s="207" t="s">
        <v>43</v>
      </c>
    </row>
    <row r="19" spans="1:10" ht="12" customHeight="1">
      <c r="A19" s="11">
        <v>19</v>
      </c>
      <c r="B19" s="130"/>
      <c r="C19" s="130"/>
      <c r="D19" s="135">
        <f>ATAN(F19)*180/PI()</f>
        <v>30.96375653207352</v>
      </c>
      <c r="E19" s="34">
        <f>COS((D19)/180*PI())</f>
        <v>0.8574929257125442</v>
      </c>
      <c r="F19" s="77">
        <f>D10/D7</f>
        <v>0.6</v>
      </c>
      <c r="G19" s="77">
        <f>G10/H7</f>
        <v>0.5822660098522168</v>
      </c>
      <c r="H19" s="1">
        <f>COS((H20)/180*PI())</f>
        <v>0.864180068272835</v>
      </c>
      <c r="I19" s="77">
        <f>H10/G7</f>
        <v>0.6182741116751269</v>
      </c>
      <c r="J19" s="1">
        <f>COS((J20)/180*PI())</f>
        <v>0.8505594571347073</v>
      </c>
    </row>
    <row r="20" spans="1:10" ht="12" customHeight="1">
      <c r="A20" s="11">
        <v>20</v>
      </c>
      <c r="B20" s="32"/>
      <c r="C20" s="32"/>
      <c r="D20" s="136"/>
      <c r="E20" s="25"/>
      <c r="F20" s="23"/>
      <c r="G20" s="192" t="s">
        <v>172</v>
      </c>
      <c r="H20" s="125">
        <f>ATAN(G19)*180/PI()</f>
        <v>30.21078876149016</v>
      </c>
      <c r="I20" s="193" t="s">
        <v>172</v>
      </c>
      <c r="J20" s="125">
        <f>ATAN(I19)*180/PI()</f>
        <v>31.727428746564247</v>
      </c>
    </row>
    <row r="21" spans="1:10" ht="12" customHeight="1">
      <c r="A21" s="11">
        <v>21</v>
      </c>
      <c r="B21" s="248" t="s">
        <v>149</v>
      </c>
      <c r="C21" s="248"/>
      <c r="D21" s="253"/>
      <c r="E21" s="254"/>
      <c r="F21" s="255"/>
      <c r="G21" s="255"/>
      <c r="H21" s="255"/>
      <c r="I21" s="255"/>
      <c r="J21" s="255"/>
    </row>
    <row r="22" spans="1:10" ht="12" customHeight="1">
      <c r="A22" s="11">
        <v>22</v>
      </c>
      <c r="B22" s="127" t="s">
        <v>9</v>
      </c>
      <c r="C22" s="127"/>
      <c r="D22" s="137" t="s">
        <v>169</v>
      </c>
      <c r="E22" s="23" t="s">
        <v>170</v>
      </c>
      <c r="F22" s="21"/>
      <c r="G22" s="81"/>
      <c r="H22" s="127" t="s">
        <v>10</v>
      </c>
      <c r="I22" s="151" t="s">
        <v>204</v>
      </c>
      <c r="J22" s="22" t="s">
        <v>205</v>
      </c>
    </row>
    <row r="23" spans="1:10" ht="12" customHeight="1">
      <c r="A23" s="11">
        <v>23</v>
      </c>
      <c r="C23" s="128" t="s">
        <v>54</v>
      </c>
      <c r="D23" s="132">
        <v>215</v>
      </c>
      <c r="E23" s="25">
        <f>D23*1000000/(F3*J3)</f>
        <v>537.5</v>
      </c>
      <c r="F23" s="21"/>
      <c r="G23" s="103"/>
      <c r="H23" s="128" t="s">
        <v>54</v>
      </c>
      <c r="I23" s="132">
        <v>136</v>
      </c>
      <c r="J23" s="25">
        <f>I23*1000000/(F3*J3)</f>
        <v>340</v>
      </c>
    </row>
    <row r="24" spans="1:10" ht="12" customHeight="1">
      <c r="A24" s="11">
        <v>24</v>
      </c>
      <c r="B24" s="128"/>
      <c r="C24" s="128"/>
      <c r="D24" s="133"/>
      <c r="E24" s="49"/>
      <c r="F24" s="50"/>
      <c r="G24" s="113"/>
      <c r="H24" s="113"/>
      <c r="I24" s="133"/>
      <c r="J24" s="49"/>
    </row>
    <row r="25" spans="1:10" ht="12" customHeight="1">
      <c r="A25" s="11">
        <v>25</v>
      </c>
      <c r="B25" s="228" t="s">
        <v>186</v>
      </c>
      <c r="C25" s="102"/>
      <c r="D25" s="71" t="s">
        <v>51</v>
      </c>
      <c r="E25" s="71" t="s">
        <v>39</v>
      </c>
      <c r="F25" s="69"/>
      <c r="G25" s="75"/>
      <c r="H25" s="102" t="s">
        <v>52</v>
      </c>
      <c r="I25" s="71" t="s">
        <v>38</v>
      </c>
      <c r="J25" s="71" t="s">
        <v>40</v>
      </c>
    </row>
    <row r="26" spans="1:10" ht="12" customHeight="1">
      <c r="A26" s="11">
        <v>26</v>
      </c>
      <c r="C26" s="128" t="s">
        <v>54</v>
      </c>
      <c r="D26" s="132">
        <v>221</v>
      </c>
      <c r="E26" s="25">
        <f>D26*1000/F3</f>
        <v>110.5</v>
      </c>
      <c r="F26" s="21"/>
      <c r="G26" s="81"/>
      <c r="H26" s="195" t="s">
        <v>54</v>
      </c>
      <c r="I26" s="65">
        <f>D23*1000000/(SQRT(3)*E29*D26*1000)</f>
        <v>664.6143412946066</v>
      </c>
      <c r="J26" s="25">
        <f>I26/J3</f>
        <v>3.3230717064730326</v>
      </c>
    </row>
    <row r="27" spans="1:11" ht="12" customHeight="1">
      <c r="A27" s="11">
        <v>27</v>
      </c>
      <c r="B27" s="128"/>
      <c r="C27" s="128"/>
      <c r="D27" s="126"/>
      <c r="E27" s="21"/>
      <c r="F27" s="21"/>
      <c r="G27" s="113"/>
      <c r="H27" s="105"/>
      <c r="I27" s="105"/>
      <c r="J27" s="49"/>
      <c r="K27" s="7" t="s">
        <v>173</v>
      </c>
    </row>
    <row r="28" spans="1:10" ht="12" customHeight="1">
      <c r="A28" s="11">
        <v>28</v>
      </c>
      <c r="B28" s="129" t="s">
        <v>41</v>
      </c>
      <c r="C28" s="102"/>
      <c r="D28" s="79" t="s">
        <v>171</v>
      </c>
      <c r="E28" s="70" t="s">
        <v>43</v>
      </c>
      <c r="F28" s="122" t="s">
        <v>44</v>
      </c>
      <c r="G28" s="101" t="s">
        <v>53</v>
      </c>
      <c r="H28" s="105"/>
      <c r="I28" s="141"/>
      <c r="J28" s="26"/>
    </row>
    <row r="29" spans="1:10" ht="12" customHeight="1">
      <c r="A29" s="11">
        <v>29</v>
      </c>
      <c r="B29" s="38"/>
      <c r="C29" s="128" t="s">
        <v>54</v>
      </c>
      <c r="D29" s="119">
        <f>ATAN(G29)*180/PI()</f>
        <v>32.31573231189347</v>
      </c>
      <c r="E29" s="124">
        <f>COS((D29)/180*PI())</f>
        <v>0.8451150785487632</v>
      </c>
      <c r="F29" s="123">
        <f>SIN((D29)/180*PI())</f>
        <v>0.5345844217796829</v>
      </c>
      <c r="G29" s="82">
        <f>I23/D23</f>
        <v>0.6325581395348837</v>
      </c>
      <c r="H29" s="113"/>
      <c r="I29" s="113"/>
      <c r="J29" s="21"/>
    </row>
    <row r="30" spans="1:10" ht="12" customHeight="1">
      <c r="A30" s="11">
        <v>30</v>
      </c>
      <c r="B30" s="248" t="s">
        <v>154</v>
      </c>
      <c r="C30" s="248"/>
      <c r="D30" s="256"/>
      <c r="E30" s="253"/>
      <c r="F30" s="255"/>
      <c r="G30" s="257"/>
      <c r="H30" s="258"/>
      <c r="I30" s="259"/>
      <c r="J30" s="250"/>
    </row>
    <row r="31" spans="1:10" ht="12" customHeight="1">
      <c r="A31" s="11">
        <v>31</v>
      </c>
      <c r="D31" s="91" t="s">
        <v>155</v>
      </c>
      <c r="E31" s="21"/>
      <c r="F31" s="21"/>
      <c r="G31" s="91" t="s">
        <v>9</v>
      </c>
      <c r="H31" s="37"/>
      <c r="I31" s="91" t="s">
        <v>10</v>
      </c>
      <c r="J31" s="21"/>
    </row>
    <row r="32" spans="1:10" ht="12" customHeight="1">
      <c r="A32" s="11">
        <v>32</v>
      </c>
      <c r="D32" s="87" t="s">
        <v>46</v>
      </c>
      <c r="E32" s="88" t="s">
        <v>148</v>
      </c>
      <c r="F32" s="85" t="s">
        <v>151</v>
      </c>
      <c r="G32" s="39" t="s">
        <v>54</v>
      </c>
      <c r="H32" s="52" t="s">
        <v>159</v>
      </c>
      <c r="I32" s="92" t="s">
        <v>54</v>
      </c>
      <c r="J32" s="52" t="s">
        <v>159</v>
      </c>
    </row>
    <row r="33" spans="1:10" ht="12" customHeight="1">
      <c r="A33" s="11">
        <v>33</v>
      </c>
      <c r="C33" s="231" t="s">
        <v>47</v>
      </c>
      <c r="D33" s="142" t="s">
        <v>48</v>
      </c>
      <c r="E33" s="142" t="s">
        <v>45</v>
      </c>
      <c r="F33" s="142" t="s">
        <v>49</v>
      </c>
      <c r="G33" s="71" t="s">
        <v>55</v>
      </c>
      <c r="H33" s="71" t="s">
        <v>50</v>
      </c>
      <c r="I33" s="99" t="s">
        <v>55</v>
      </c>
      <c r="J33" s="71" t="s">
        <v>50</v>
      </c>
    </row>
    <row r="34" spans="1:10" ht="12" customHeight="1">
      <c r="A34" s="11">
        <v>34</v>
      </c>
      <c r="B34" s="241" t="s">
        <v>236</v>
      </c>
      <c r="C34" s="35" t="s">
        <v>174</v>
      </c>
      <c r="D34" s="86">
        <v>0</v>
      </c>
      <c r="E34" s="89">
        <v>20</v>
      </c>
      <c r="F34" s="86">
        <f>E34</f>
        <v>20</v>
      </c>
      <c r="G34" s="6">
        <v>17.16</v>
      </c>
      <c r="H34" s="53">
        <f>E34*E23/E7</f>
        <v>17.2</v>
      </c>
      <c r="I34" s="93">
        <v>18.01</v>
      </c>
      <c r="J34" s="53">
        <f>E34*J23/E10</f>
        <v>18.133333333333333</v>
      </c>
    </row>
    <row r="35" spans="1:11" ht="12" customHeight="1">
      <c r="A35" s="11">
        <v>35</v>
      </c>
      <c r="B35" s="242" t="s">
        <v>237</v>
      </c>
      <c r="C35" s="46" t="s">
        <v>175</v>
      </c>
      <c r="D35" s="86">
        <f>0.2*E34</f>
        <v>4</v>
      </c>
      <c r="E35" s="86">
        <f>E34</f>
        <v>20</v>
      </c>
      <c r="F35" s="86">
        <f>E34-D35</f>
        <v>16</v>
      </c>
      <c r="G35" s="6">
        <v>17.6</v>
      </c>
      <c r="H35" s="53">
        <f>(E23/E7)*(E34-D35)+D35</f>
        <v>17.759999999999998</v>
      </c>
      <c r="I35" s="93">
        <v>18.9</v>
      </c>
      <c r="J35" s="53">
        <f>J23/E10*(E34-D35)+D35</f>
        <v>18.506666666666668</v>
      </c>
      <c r="K35" s="5"/>
    </row>
    <row r="36" spans="1:10" ht="12" customHeight="1">
      <c r="A36" s="11">
        <v>36</v>
      </c>
      <c r="D36" s="21"/>
      <c r="E36" s="26"/>
      <c r="F36" s="26"/>
      <c r="H36" s="36"/>
      <c r="I36" s="21"/>
      <c r="J36" s="21"/>
    </row>
    <row r="37" spans="1:10" ht="12" customHeight="1">
      <c r="A37" s="11">
        <v>37</v>
      </c>
      <c r="C37" s="120" t="s">
        <v>162</v>
      </c>
      <c r="D37" s="144">
        <v>0.5</v>
      </c>
      <c r="E37" s="105"/>
      <c r="F37" s="105"/>
      <c r="G37" s="120" t="s">
        <v>162</v>
      </c>
      <c r="H37" s="144">
        <v>1.5</v>
      </c>
      <c r="I37" s="105"/>
      <c r="J37" s="105"/>
    </row>
    <row r="38" spans="1:10" ht="12" customHeight="1">
      <c r="A38" s="11">
        <v>38</v>
      </c>
      <c r="D38" s="90" t="s">
        <v>9</v>
      </c>
      <c r="E38" s="84" t="s">
        <v>35</v>
      </c>
      <c r="F38" s="84" t="s">
        <v>36</v>
      </c>
      <c r="G38" s="21"/>
      <c r="H38" s="90" t="s">
        <v>10</v>
      </c>
      <c r="I38" s="84" t="s">
        <v>210</v>
      </c>
      <c r="J38" s="84" t="s">
        <v>211</v>
      </c>
    </row>
    <row r="39" spans="1:10" ht="12" customHeight="1">
      <c r="A39" s="11">
        <v>39</v>
      </c>
      <c r="C39" s="239"/>
      <c r="D39" s="238" t="s">
        <v>163</v>
      </c>
      <c r="E39" s="142" t="s">
        <v>56</v>
      </c>
      <c r="F39" s="142" t="s">
        <v>57</v>
      </c>
      <c r="G39" s="69"/>
      <c r="H39" s="143" t="s">
        <v>163</v>
      </c>
      <c r="I39" s="142" t="s">
        <v>56</v>
      </c>
      <c r="J39" s="142" t="s">
        <v>57</v>
      </c>
    </row>
    <row r="40" spans="1:11" ht="12" customHeight="1">
      <c r="A40" s="11">
        <v>40</v>
      </c>
      <c r="C40" s="240" t="s">
        <v>232</v>
      </c>
      <c r="D40" s="186">
        <f>((G34-H34)/F34)*100</f>
        <v>-0.19999999999999576</v>
      </c>
      <c r="E40" s="86">
        <f>H34-(F34*D37/100)</f>
        <v>17.099999999999998</v>
      </c>
      <c r="F40" s="86">
        <f>H34+(F34*D37/100)</f>
        <v>17.3</v>
      </c>
      <c r="G40" s="36"/>
      <c r="H40" s="186">
        <f>((I34-J34)/F34)*100</f>
        <v>-0.6166666666666565</v>
      </c>
      <c r="I40" s="86">
        <f>H35-(F35*H37/100)</f>
        <v>17.52</v>
      </c>
      <c r="J40" s="86">
        <f>H35+(F35*H37/100)</f>
        <v>17.999999999999996</v>
      </c>
      <c r="K40" s="17"/>
    </row>
    <row r="41" spans="1:11" ht="12" customHeight="1">
      <c r="A41" s="11">
        <v>41</v>
      </c>
      <c r="C41" s="240" t="s">
        <v>233</v>
      </c>
      <c r="D41" s="186">
        <f>((G34-H34)/H34)*100</f>
        <v>-0.23255813953487878</v>
      </c>
      <c r="E41" s="86">
        <f>H34-(H34*D37/100)</f>
        <v>17.114</v>
      </c>
      <c r="F41" s="86">
        <f>H34+(H34*D37/100)</f>
        <v>17.285999999999998</v>
      </c>
      <c r="G41" s="36"/>
      <c r="H41" s="186">
        <f>((I34-J34)/H34)*100</f>
        <v>-0.7170542635658796</v>
      </c>
      <c r="I41" s="86">
        <f>H35-(H35*H37/100)</f>
        <v>17.493599999999997</v>
      </c>
      <c r="J41" s="86">
        <f>H35+(H35*H37/100)</f>
        <v>18.0264</v>
      </c>
      <c r="K41" s="4"/>
    </row>
    <row r="42" spans="1:11" ht="12" customHeight="1">
      <c r="A42" s="11">
        <v>42</v>
      </c>
      <c r="D42" s="126"/>
      <c r="E42" s="21"/>
      <c r="F42" s="21"/>
      <c r="G42" s="21"/>
      <c r="H42" s="126"/>
      <c r="I42" s="21"/>
      <c r="J42" s="21"/>
      <c r="K42" s="3"/>
    </row>
    <row r="43" spans="1:10" ht="12" customHeight="1">
      <c r="A43" s="11">
        <v>43</v>
      </c>
      <c r="D43" s="187" t="s">
        <v>9</v>
      </c>
      <c r="E43" s="121" t="s">
        <v>35</v>
      </c>
      <c r="F43" s="121" t="s">
        <v>36</v>
      </c>
      <c r="G43" s="113"/>
      <c r="H43" s="187" t="s">
        <v>10</v>
      </c>
      <c r="I43" s="121" t="s">
        <v>210</v>
      </c>
      <c r="J43" s="121" t="s">
        <v>211</v>
      </c>
    </row>
    <row r="44" spans="1:10" ht="12" customHeight="1">
      <c r="A44" s="11">
        <v>44</v>
      </c>
      <c r="C44" s="239"/>
      <c r="D44" s="188" t="s">
        <v>164</v>
      </c>
      <c r="E44" s="85" t="s">
        <v>56</v>
      </c>
      <c r="F44" s="85" t="s">
        <v>57</v>
      </c>
      <c r="G44" s="36"/>
      <c r="H44" s="188" t="s">
        <v>164</v>
      </c>
      <c r="I44" s="85" t="s">
        <v>56</v>
      </c>
      <c r="J44" s="85" t="s">
        <v>57</v>
      </c>
    </row>
    <row r="45" spans="1:11" ht="12" customHeight="1">
      <c r="A45" s="11">
        <v>45</v>
      </c>
      <c r="C45" s="240" t="s">
        <v>235</v>
      </c>
      <c r="D45" s="186">
        <f>((G35-H35)/F35)*100</f>
        <v>-0.9999999999999787</v>
      </c>
      <c r="E45" s="86">
        <f>J34-(F34*D37/100)</f>
        <v>18.03333333333333</v>
      </c>
      <c r="F45" s="86">
        <f>J34+(F34*D37/100)</f>
        <v>18.233333333333334</v>
      </c>
      <c r="G45" s="36"/>
      <c r="H45" s="186">
        <f>((I35-J35)/F35)*100</f>
        <v>2.458333333333318</v>
      </c>
      <c r="I45" s="86">
        <f>J35-(F35*H37/100)</f>
        <v>18.26666666666667</v>
      </c>
      <c r="J45" s="86">
        <f>J35+(F35*H37/100)</f>
        <v>18.746666666666666</v>
      </c>
      <c r="K45" s="3"/>
    </row>
    <row r="46" spans="1:10" ht="12" customHeight="1">
      <c r="A46" s="11">
        <v>46</v>
      </c>
      <c r="C46" s="240" t="s">
        <v>234</v>
      </c>
      <c r="D46" s="186">
        <f>((G35-H35)/(H35-D35))*100</f>
        <v>-1.162790697674394</v>
      </c>
      <c r="E46" s="86">
        <f>J34-(J34*D37/100)</f>
        <v>18.042666666666666</v>
      </c>
      <c r="F46" s="86">
        <f>J34+(J34*D37/100)</f>
        <v>18.224</v>
      </c>
      <c r="G46" s="36"/>
      <c r="H46" s="186">
        <f>((I35-J35)/(H35-D35))*100</f>
        <v>2.858527131782928</v>
      </c>
      <c r="I46" s="86">
        <f>J35-(J35*H37/100)</f>
        <v>18.229066666666668</v>
      </c>
      <c r="J46" s="86">
        <f>J35+(J35*H37/100)</f>
        <v>18.784266666666667</v>
      </c>
    </row>
    <row r="47" spans="1:10" ht="12" customHeight="1">
      <c r="A47" s="11">
        <v>47</v>
      </c>
      <c r="E47" s="21"/>
      <c r="F47" s="21"/>
      <c r="G47" s="21"/>
      <c r="I47" s="21"/>
      <c r="J47" s="21"/>
    </row>
    <row r="48" spans="1:10" ht="12" customHeight="1">
      <c r="A48" s="11">
        <v>48</v>
      </c>
      <c r="B48" s="248" t="s">
        <v>156</v>
      </c>
      <c r="C48" s="248"/>
      <c r="D48" s="250"/>
      <c r="E48" s="250"/>
      <c r="F48" s="250"/>
      <c r="G48" s="250"/>
      <c r="H48" s="250"/>
      <c r="I48" s="250"/>
      <c r="J48" s="250"/>
    </row>
    <row r="49" spans="1:10" ht="12" customHeight="1">
      <c r="A49" s="11">
        <v>49</v>
      </c>
      <c r="B49" s="40" t="s">
        <v>120</v>
      </c>
      <c r="C49" s="40"/>
      <c r="D49" s="23" t="s">
        <v>0</v>
      </c>
      <c r="E49" s="23" t="s">
        <v>16</v>
      </c>
      <c r="F49" s="23" t="s">
        <v>1</v>
      </c>
      <c r="G49" s="23" t="s">
        <v>2</v>
      </c>
      <c r="H49" s="23" t="s">
        <v>3</v>
      </c>
      <c r="I49" s="196" t="s">
        <v>4</v>
      </c>
      <c r="J49" s="23" t="s">
        <v>192</v>
      </c>
    </row>
    <row r="50" spans="1:10" ht="12" customHeight="1">
      <c r="A50" s="11">
        <v>50</v>
      </c>
      <c r="C50" s="41" t="s">
        <v>176</v>
      </c>
      <c r="D50" s="94">
        <v>100.9</v>
      </c>
      <c r="E50" s="95">
        <v>29.7</v>
      </c>
      <c r="F50" s="50">
        <f>COS(E50/180*PI())*D50</f>
        <v>87.64491980681349</v>
      </c>
      <c r="G50" s="50">
        <f>SIN(E50/180*PI())*D50</f>
        <v>49.99177964482993</v>
      </c>
      <c r="H50" s="25">
        <f>(D51^2+D52^2-D50^2)/(2*D51*D52)</f>
        <v>0.4868865927419354</v>
      </c>
      <c r="I50" s="83">
        <f>ACOS(H50)*180/PI()</f>
        <v>60.863849058977536</v>
      </c>
      <c r="J50" s="31">
        <f>ABS(E50-E52)</f>
        <v>120.04022886827234</v>
      </c>
    </row>
    <row r="51" spans="1:10" ht="12" customHeight="1">
      <c r="A51" s="11">
        <v>51</v>
      </c>
      <c r="C51" s="41" t="s">
        <v>177</v>
      </c>
      <c r="D51" s="94">
        <v>100</v>
      </c>
      <c r="E51" s="31">
        <f>(-180+E50)+I52</f>
        <v>-91.1236201907052</v>
      </c>
      <c r="F51" s="50">
        <f>COS(E51/180*PI())*D51</f>
        <v>-1.9609614881769377</v>
      </c>
      <c r="G51" s="50">
        <f>SIN(E51/180*PI())*D51</f>
        <v>-99.98077130149521</v>
      </c>
      <c r="H51" s="25">
        <f>(D52^2+D50^2-D51^2)/(2*D50*D52)</f>
        <v>0.5006079358355447</v>
      </c>
      <c r="I51" s="83">
        <f>ACOS(H51)*180/PI()</f>
        <v>59.95977113172765</v>
      </c>
      <c r="J51" s="31">
        <f>ABS(E51-E50)</f>
        <v>120.8236201907052</v>
      </c>
    </row>
    <row r="52" spans="1:10" ht="12" customHeight="1">
      <c r="A52" s="11">
        <v>52</v>
      </c>
      <c r="C52" s="41" t="s">
        <v>178</v>
      </c>
      <c r="D52" s="94">
        <v>99.2</v>
      </c>
      <c r="E52" s="31">
        <f>(180+E50)-I51</f>
        <v>149.74022886827234</v>
      </c>
      <c r="F52" s="50">
        <f>COS(E52/180*PI())*D52</f>
        <v>-85.68395831863656</v>
      </c>
      <c r="G52" s="50">
        <f>SIN(E52/180*PI())*D52</f>
        <v>49.98899165666531</v>
      </c>
      <c r="H52" s="25">
        <f>(D51^2+D50^2-D52^2)/(2*D50*D51)</f>
        <v>0.5123969276511398</v>
      </c>
      <c r="I52" s="83">
        <f>ACOS(H52)*180/PI()</f>
        <v>59.17637980929482</v>
      </c>
      <c r="J52" s="31">
        <f>ABS(E52-E51-360)</f>
        <v>119.13615094102246</v>
      </c>
    </row>
    <row r="53" spans="1:10" ht="12" customHeight="1">
      <c r="A53" s="11">
        <v>53</v>
      </c>
      <c r="C53" s="33" t="s">
        <v>70</v>
      </c>
      <c r="D53" s="31">
        <f>SQRT(F53^2+G53^2)</f>
        <v>0</v>
      </c>
      <c r="E53" s="25" t="e">
        <f>ATAN2(F53,G53)*180/PI()</f>
        <v>#DIV/0!</v>
      </c>
      <c r="F53" s="31">
        <f>F50+F51+F52</f>
        <v>0</v>
      </c>
      <c r="G53" s="31">
        <f>G50+G51+G52</f>
        <v>0</v>
      </c>
      <c r="H53" s="22"/>
      <c r="I53" s="208" t="s">
        <v>182</v>
      </c>
      <c r="J53" s="209">
        <f>J50+J51+J52</f>
        <v>360</v>
      </c>
    </row>
    <row r="54" spans="1:10" ht="12" customHeight="1">
      <c r="A54" s="11">
        <v>54</v>
      </c>
      <c r="B54" s="42" t="s">
        <v>189</v>
      </c>
      <c r="C54" s="42"/>
      <c r="D54" s="24"/>
      <c r="E54" s="110">
        <f>E50-E76</f>
        <v>29.699078399647657</v>
      </c>
      <c r="F54" s="21"/>
      <c r="G54" s="24"/>
      <c r="I54" s="21"/>
      <c r="J54" s="21"/>
    </row>
    <row r="55" spans="1:10" ht="12" customHeight="1">
      <c r="A55" s="11">
        <v>55</v>
      </c>
      <c r="C55" s="41" t="s">
        <v>145</v>
      </c>
      <c r="D55" s="79" t="s">
        <v>0</v>
      </c>
      <c r="E55" s="79" t="s">
        <v>16</v>
      </c>
      <c r="F55" s="79" t="s">
        <v>1</v>
      </c>
      <c r="G55" s="79" t="s">
        <v>2</v>
      </c>
      <c r="H55" s="210" t="s">
        <v>230</v>
      </c>
      <c r="I55" s="21"/>
      <c r="J55" s="21"/>
    </row>
    <row r="56" spans="1:10" ht="12" customHeight="1">
      <c r="A56" s="11">
        <v>56</v>
      </c>
      <c r="C56" s="33" t="s">
        <v>81</v>
      </c>
      <c r="D56" s="25">
        <f>SQRT(F56^2+G56^2)</f>
        <v>100.9</v>
      </c>
      <c r="E56" s="31">
        <f>ATAN2(F56,G56)*180/PI()</f>
        <v>-150.29999999999998</v>
      </c>
      <c r="F56" s="50">
        <f aca="true" t="shared" si="0" ref="F56:G58">-F50</f>
        <v>-87.64491980681349</v>
      </c>
      <c r="G56" s="50">
        <f t="shared" si="0"/>
        <v>-49.99177964482993</v>
      </c>
      <c r="H56" s="233" t="s">
        <v>194</v>
      </c>
      <c r="I56" s="22"/>
      <c r="J56" s="51"/>
    </row>
    <row r="57" spans="1:10" ht="12" customHeight="1">
      <c r="A57" s="11">
        <v>57</v>
      </c>
      <c r="C57" s="33" t="s">
        <v>82</v>
      </c>
      <c r="D57" s="25">
        <f>SQRT(F57^2+G57^2)</f>
        <v>100.00000000000001</v>
      </c>
      <c r="E57" s="31">
        <f>ATAN2(F57,G57)*180/PI()</f>
        <v>88.87637980929483</v>
      </c>
      <c r="F57" s="50">
        <f t="shared" si="0"/>
        <v>1.9609614881769377</v>
      </c>
      <c r="G57" s="50">
        <f t="shared" si="0"/>
        <v>99.98077130149521</v>
      </c>
      <c r="H57" s="211">
        <f>SQRT(J58)*100</f>
        <v>0.9820293563595635</v>
      </c>
      <c r="I57" s="203">
        <f>D51^4+D52^4+D50^4</f>
        <v>300487087.8657</v>
      </c>
      <c r="J57" s="203">
        <f>(D51^2+D52^2+D50^2)^2</f>
        <v>901287460.1025001</v>
      </c>
    </row>
    <row r="58" spans="1:10" ht="12" customHeight="1">
      <c r="A58" s="11">
        <v>58</v>
      </c>
      <c r="C58" s="33" t="s">
        <v>83</v>
      </c>
      <c r="D58" s="25">
        <f>SQRT(F58^2+G58^2)</f>
        <v>99.2</v>
      </c>
      <c r="E58" s="31">
        <f>ATAN2(F58,G58)*180/PI()</f>
        <v>-30.25977113172768</v>
      </c>
      <c r="F58" s="50">
        <f t="shared" si="0"/>
        <v>85.68395831863656</v>
      </c>
      <c r="G58" s="50">
        <f t="shared" si="0"/>
        <v>-49.98899165666531</v>
      </c>
      <c r="H58" s="80">
        <f>SQRT(3-(6*I58))</f>
        <v>0.9998071422674956</v>
      </c>
      <c r="I58" s="202">
        <f>I57/J57</f>
        <v>0.3333976130451507</v>
      </c>
      <c r="J58" s="202">
        <f>(1-H58)/(1+H58)</f>
        <v>9.643816567519786E-05</v>
      </c>
    </row>
    <row r="59" spans="1:10" ht="12" customHeight="1">
      <c r="A59" s="11">
        <v>59</v>
      </c>
      <c r="B59" s="252" t="s">
        <v>84</v>
      </c>
      <c r="C59" s="252"/>
      <c r="D59" s="250"/>
      <c r="E59" s="250"/>
      <c r="F59" s="250"/>
      <c r="G59" s="250"/>
      <c r="H59" s="260"/>
      <c r="I59" s="260"/>
      <c r="J59" s="261"/>
    </row>
    <row r="60" spans="1:10" ht="12" customHeight="1">
      <c r="A60" s="11">
        <v>60</v>
      </c>
      <c r="D60" s="23" t="s">
        <v>0</v>
      </c>
      <c r="E60" s="23" t="s">
        <v>5</v>
      </c>
      <c r="F60" s="21"/>
      <c r="G60" s="22" t="s">
        <v>77</v>
      </c>
      <c r="H60" s="26" t="s">
        <v>147</v>
      </c>
      <c r="I60" s="54"/>
      <c r="J60" s="30"/>
    </row>
    <row r="61" spans="1:10" ht="12" customHeight="1">
      <c r="A61" s="11">
        <v>61</v>
      </c>
      <c r="B61" s="232" t="s">
        <v>104</v>
      </c>
      <c r="C61" s="41"/>
      <c r="D61" s="104">
        <v>0.8</v>
      </c>
      <c r="E61" s="53">
        <f>H61*ACOS(D61)*180/PI()</f>
        <v>-36.86989764584401</v>
      </c>
      <c r="F61" s="21"/>
      <c r="G61" s="55" t="str">
        <f>IF((H61=-1),"induktiv","kapazitiv")</f>
        <v>induktiv</v>
      </c>
      <c r="H61" s="9">
        <v>-1</v>
      </c>
      <c r="I61" s="217" t="str">
        <f>IF((H61=-1),"Strom nacheilend","Strom voreilend")</f>
        <v>Strom nacheilend</v>
      </c>
      <c r="J61" s="30"/>
    </row>
    <row r="62" spans="1:10" ht="12" customHeight="1">
      <c r="A62" s="11">
        <v>62</v>
      </c>
      <c r="B62" s="248" t="s">
        <v>141</v>
      </c>
      <c r="C62" s="248"/>
      <c r="D62" s="250"/>
      <c r="E62" s="250"/>
      <c r="F62" s="250"/>
      <c r="G62" s="250"/>
      <c r="H62" s="250"/>
      <c r="I62" s="250"/>
      <c r="J62" s="250"/>
    </row>
    <row r="63" spans="1:10" ht="12" customHeight="1">
      <c r="A63" s="11">
        <v>63</v>
      </c>
      <c r="B63" s="40"/>
      <c r="C63" s="40"/>
      <c r="D63" s="23" t="s">
        <v>98</v>
      </c>
      <c r="E63" s="23" t="s">
        <v>5</v>
      </c>
      <c r="F63" s="23" t="s">
        <v>1</v>
      </c>
      <c r="G63" s="23" t="s">
        <v>2</v>
      </c>
      <c r="H63" s="210" t="s">
        <v>196</v>
      </c>
      <c r="I63" s="22"/>
      <c r="J63" s="51"/>
    </row>
    <row r="64" spans="1:10" ht="12" customHeight="1">
      <c r="A64" s="11">
        <v>64</v>
      </c>
      <c r="C64" s="41" t="s">
        <v>179</v>
      </c>
      <c r="D64" s="76">
        <v>2.3</v>
      </c>
      <c r="E64" s="18">
        <f>E61</f>
        <v>-36.86989764584401</v>
      </c>
      <c r="F64" s="23">
        <f>COS(E64/180*PI())*D64</f>
        <v>1.8399999999999999</v>
      </c>
      <c r="G64" s="23">
        <f>SIN(E64/180*PI())*D64</f>
        <v>-1.3799999999999997</v>
      </c>
      <c r="H64" s="211">
        <f>SQRT(J65)*100</f>
        <v>9.280047263568939</v>
      </c>
      <c r="I64" s="203">
        <f>D70^4+D71^4+D72^4</f>
        <v>120.19069999999999</v>
      </c>
      <c r="J64" s="203">
        <f>(D70^2+D71^2+D72^2)^2</f>
        <v>354.5688999999999</v>
      </c>
    </row>
    <row r="65" spans="1:10" ht="12" customHeight="1">
      <c r="A65" s="11">
        <v>65</v>
      </c>
      <c r="C65" s="33" t="s">
        <v>85</v>
      </c>
      <c r="D65" s="1">
        <f>SQRT(F65^2+G65^2)</f>
        <v>2.5000000000000004</v>
      </c>
      <c r="E65" s="25">
        <f>ATAN2(F65,G65)*180/PI()</f>
        <v>-148.55870326398514</v>
      </c>
      <c r="F65" s="23">
        <f>-F64-F66</f>
        <v>-2.1329376265105986</v>
      </c>
      <c r="G65" s="23">
        <f>-G64-G66</f>
        <v>-1.3040617628836972</v>
      </c>
      <c r="H65" s="80">
        <f>SQRT(3-(6*I65))</f>
        <v>0.982923208650005</v>
      </c>
      <c r="I65" s="202">
        <f>I64/J64</f>
        <v>0.33897699431619643</v>
      </c>
      <c r="J65" s="202">
        <f>(1-H65)/(1+H65)</f>
        <v>0.008611927721407333</v>
      </c>
    </row>
    <row r="66" spans="1:10" ht="12" customHeight="1">
      <c r="A66" s="11">
        <v>66</v>
      </c>
      <c r="C66" s="41" t="s">
        <v>180</v>
      </c>
      <c r="D66" s="76">
        <v>2.7</v>
      </c>
      <c r="E66" s="25">
        <f>J70+E64</f>
        <v>83.7714097716852</v>
      </c>
      <c r="F66" s="23">
        <f>COS(E66/180*PI())*D66</f>
        <v>0.29293762651059857</v>
      </c>
      <c r="G66" s="23">
        <f>SIN(E66/180*PI())*D66</f>
        <v>2.684061762883697</v>
      </c>
      <c r="H66" s="21"/>
      <c r="I66" s="54"/>
      <c r="J66" s="30"/>
    </row>
    <row r="67" spans="1:10" ht="12" customHeight="1">
      <c r="A67" s="11">
        <v>67</v>
      </c>
      <c r="C67" s="33" t="s">
        <v>6</v>
      </c>
      <c r="D67" s="23">
        <f>SQRT(F67^2+G67^2)</f>
        <v>0</v>
      </c>
      <c r="E67" s="25" t="e">
        <f>ATAN2(F67,G67)*180/PI()</f>
        <v>#DIV/0!</v>
      </c>
      <c r="F67" s="25">
        <f>F64+F65+F66</f>
        <v>0</v>
      </c>
      <c r="G67" s="25">
        <f>G64+G65+G66</f>
        <v>0</v>
      </c>
      <c r="H67" s="21"/>
      <c r="I67" s="54"/>
      <c r="J67" s="30"/>
    </row>
    <row r="68" spans="1:10" ht="12" customHeight="1">
      <c r="A68" s="11">
        <v>68</v>
      </c>
      <c r="C68" s="41"/>
      <c r="D68" s="23"/>
      <c r="E68" s="25"/>
      <c r="F68" s="22"/>
      <c r="G68" s="55"/>
      <c r="H68" s="32"/>
      <c r="I68" s="54"/>
      <c r="J68" s="30"/>
    </row>
    <row r="69" spans="1:10" ht="12" customHeight="1">
      <c r="A69" s="11">
        <v>69</v>
      </c>
      <c r="C69" s="111" t="s">
        <v>181</v>
      </c>
      <c r="D69" s="79" t="s">
        <v>98</v>
      </c>
      <c r="E69" s="79" t="s">
        <v>5</v>
      </c>
      <c r="F69" s="79" t="s">
        <v>1</v>
      </c>
      <c r="G69" s="79" t="s">
        <v>2</v>
      </c>
      <c r="H69" s="79" t="s">
        <v>3</v>
      </c>
      <c r="I69" s="197" t="s">
        <v>4</v>
      </c>
      <c r="J69" s="79" t="s">
        <v>191</v>
      </c>
    </row>
    <row r="70" spans="1:10" ht="12" customHeight="1">
      <c r="A70" s="11">
        <v>70</v>
      </c>
      <c r="C70" s="41" t="s">
        <v>105</v>
      </c>
      <c r="D70" s="76">
        <v>2.3</v>
      </c>
      <c r="E70" s="18">
        <f>E61</f>
        <v>-36.86989764584401</v>
      </c>
      <c r="F70" s="23">
        <f>COS(E70/180*PI())*D70</f>
        <v>1.8399999999999999</v>
      </c>
      <c r="G70" s="23">
        <f>SIN(E70/180*PI())*D70</f>
        <v>-1.3799999999999997</v>
      </c>
      <c r="H70" s="25">
        <f>(D71^2+D72^2-D70^2)/(2*D71*D72)</f>
        <v>0.6111111111111113</v>
      </c>
      <c r="I70" s="83">
        <f>ACOS(H70)*180/PI()</f>
        <v>52.33011303567036</v>
      </c>
      <c r="J70" s="31">
        <f>ABS(E70-E72)</f>
        <v>120.64130741752922</v>
      </c>
    </row>
    <row r="71" spans="1:10" ht="12" customHeight="1">
      <c r="A71" s="11">
        <v>71</v>
      </c>
      <c r="C71" s="41" t="s">
        <v>106</v>
      </c>
      <c r="D71" s="76">
        <v>2.5</v>
      </c>
      <c r="E71" s="25">
        <f>(-180+E70)+I72</f>
        <v>-148.55870326398517</v>
      </c>
      <c r="F71" s="23">
        <f>COS(E71/180*PI())*D71</f>
        <v>-2.1329376265105977</v>
      </c>
      <c r="G71" s="23">
        <f>SIN(E71/180*PI())*D71</f>
        <v>-1.3040617628836975</v>
      </c>
      <c r="H71" s="25">
        <f>(D72^2+D70^2-D71^2)/(2*D70*D72)</f>
        <v>0.5096618357487923</v>
      </c>
      <c r="I71" s="83">
        <f>ACOS(H71)*180/PI()</f>
        <v>59.358692582470766</v>
      </c>
      <c r="J71" s="31">
        <f>ABS(E71-E70)</f>
        <v>111.68880561814115</v>
      </c>
    </row>
    <row r="72" spans="1:10" ht="12" customHeight="1">
      <c r="A72" s="11">
        <v>72</v>
      </c>
      <c r="C72" s="41" t="s">
        <v>107</v>
      </c>
      <c r="D72" s="76">
        <v>2.7</v>
      </c>
      <c r="E72" s="25">
        <f>(180+E70)-I71</f>
        <v>83.77140977168521</v>
      </c>
      <c r="F72" s="23">
        <f>COS(E72/180*PI())*D72</f>
        <v>0.29293762651059796</v>
      </c>
      <c r="G72" s="23">
        <f>SIN(E72/180*PI())*D72</f>
        <v>2.684061762883697</v>
      </c>
      <c r="H72" s="25">
        <f>(D71^2+D70^2-D72^2)/(2*D70*D71)</f>
        <v>0.3695652173913042</v>
      </c>
      <c r="I72" s="83">
        <f>ACOS(H72)*180/PI()</f>
        <v>68.31119438185885</v>
      </c>
      <c r="J72" s="31">
        <f>ABS(E72-E71-360)</f>
        <v>127.66988696432963</v>
      </c>
    </row>
    <row r="73" spans="1:10" ht="12" customHeight="1">
      <c r="A73" s="11">
        <v>73</v>
      </c>
      <c r="C73" s="33" t="s">
        <v>6</v>
      </c>
      <c r="D73" s="1">
        <f>SQRT(F73^2+G73^2)</f>
        <v>0</v>
      </c>
      <c r="E73" s="25" t="e">
        <f>ATAN2(F73,G73)*180/PI()</f>
        <v>#DIV/0!</v>
      </c>
      <c r="F73" s="31">
        <f>F70+F71+F72</f>
        <v>0</v>
      </c>
      <c r="G73" s="31">
        <f>G70+G71+G72</f>
        <v>0</v>
      </c>
      <c r="H73" s="22"/>
      <c r="I73" s="212" t="s">
        <v>182</v>
      </c>
      <c r="J73" s="209">
        <f>J70+J71+J72</f>
        <v>360</v>
      </c>
    </row>
    <row r="74" spans="1:10" ht="12" customHeight="1">
      <c r="A74" s="11">
        <v>74</v>
      </c>
      <c r="B74" s="252" t="s">
        <v>142</v>
      </c>
      <c r="C74" s="252"/>
      <c r="D74" s="262"/>
      <c r="E74" s="263"/>
      <c r="F74" s="262"/>
      <c r="G74" s="262"/>
      <c r="H74" s="250"/>
      <c r="I74" s="250"/>
      <c r="J74" s="264"/>
    </row>
    <row r="75" spans="1:10" ht="12" customHeight="1">
      <c r="A75" s="11">
        <v>75</v>
      </c>
      <c r="B75" s="33"/>
      <c r="C75" s="33"/>
      <c r="D75" s="23" t="s">
        <v>0</v>
      </c>
      <c r="E75" s="23" t="s">
        <v>17</v>
      </c>
      <c r="F75" s="23" t="s">
        <v>1</v>
      </c>
      <c r="G75" s="23" t="s">
        <v>2</v>
      </c>
      <c r="H75" s="21"/>
      <c r="I75" s="21"/>
      <c r="J75" s="23" t="s">
        <v>190</v>
      </c>
    </row>
    <row r="76" spans="1:10" ht="12" customHeight="1">
      <c r="A76" s="11">
        <v>76</v>
      </c>
      <c r="C76" s="33" t="s">
        <v>11</v>
      </c>
      <c r="D76" s="53">
        <f aca="true" t="shared" si="1" ref="D76:D82">SQRT(F76^2+G76^2)</f>
        <v>57.77629271595746</v>
      </c>
      <c r="E76" s="51">
        <f aca="true" t="shared" si="2" ref="E76:E82">ATAN2(F76,G76)*180/PI()</f>
        <v>0.0009216003523415163</v>
      </c>
      <c r="F76" s="50">
        <f>(F50-F52)/3</f>
        <v>57.776292708483346</v>
      </c>
      <c r="G76" s="50">
        <f>(G50-G52)/3</f>
        <v>0.0009293293882066678</v>
      </c>
      <c r="H76" s="21"/>
      <c r="I76" s="21"/>
      <c r="J76" s="25">
        <f>E50-E76</f>
        <v>29.699078399647657</v>
      </c>
    </row>
    <row r="77" spans="1:10" ht="12" customHeight="1">
      <c r="A77" s="11">
        <v>77</v>
      </c>
      <c r="C77" s="33" t="s">
        <v>12</v>
      </c>
      <c r="D77" s="53">
        <f t="shared" si="1"/>
        <v>58.234182401747525</v>
      </c>
      <c r="E77" s="51">
        <f t="shared" si="2"/>
        <v>-120.85755205068952</v>
      </c>
      <c r="F77" s="50">
        <f>(F51-F50)/3</f>
        <v>-29.86862709833014</v>
      </c>
      <c r="G77" s="50">
        <f>(G51-G50)/3</f>
        <v>-49.99085031544172</v>
      </c>
      <c r="H77" s="21"/>
      <c r="I77" s="22"/>
      <c r="J77" s="25">
        <f>E51-E77</f>
        <v>29.733931859984324</v>
      </c>
    </row>
    <row r="78" spans="1:10" ht="12" customHeight="1">
      <c r="A78" s="11">
        <v>78</v>
      </c>
      <c r="C78" s="33" t="s">
        <v>13</v>
      </c>
      <c r="D78" s="53">
        <f t="shared" si="1"/>
        <v>57.25233619687497</v>
      </c>
      <c r="E78" s="51">
        <f t="shared" si="2"/>
        <v>119.17313124989089</v>
      </c>
      <c r="F78" s="50">
        <f>(F52-F51)/3</f>
        <v>-27.907665610153206</v>
      </c>
      <c r="G78" s="50">
        <f>(G52-G51)/3</f>
        <v>49.989920986053505</v>
      </c>
      <c r="H78" s="21"/>
      <c r="I78" s="22"/>
      <c r="J78" s="25">
        <f>E52-E78</f>
        <v>30.567097618381453</v>
      </c>
    </row>
    <row r="79" spans="1:10" ht="12" customHeight="1">
      <c r="A79" s="11">
        <v>79</v>
      </c>
      <c r="C79" s="33" t="s">
        <v>18</v>
      </c>
      <c r="D79" s="31">
        <f t="shared" si="1"/>
        <v>0</v>
      </c>
      <c r="E79" s="25" t="e">
        <f t="shared" si="2"/>
        <v>#DIV/0!</v>
      </c>
      <c r="F79" s="50">
        <f>F76+F77+F78</f>
        <v>0</v>
      </c>
      <c r="G79" s="50">
        <f>G76+G77+G78</f>
        <v>0</v>
      </c>
      <c r="H79" s="21"/>
      <c r="I79" s="29" t="s">
        <v>182</v>
      </c>
      <c r="J79" s="213">
        <f>J76+J77+J78</f>
        <v>90.00010787801344</v>
      </c>
    </row>
    <row r="80" spans="1:10" ht="12" customHeight="1">
      <c r="A80" s="11">
        <v>80</v>
      </c>
      <c r="C80" s="43" t="s">
        <v>72</v>
      </c>
      <c r="D80" s="70">
        <f t="shared" si="1"/>
        <v>57.77629271595746</v>
      </c>
      <c r="E80" s="70">
        <f t="shared" si="2"/>
        <v>-179.99907839964766</v>
      </c>
      <c r="F80" s="112">
        <f>(F56-F58)/3</f>
        <v>-57.776292708483346</v>
      </c>
      <c r="G80" s="112">
        <f>(G56-G58)/3</f>
        <v>-0.0009293293882066678</v>
      </c>
      <c r="H80" s="22"/>
      <c r="I80" s="21"/>
      <c r="J80" s="21"/>
    </row>
    <row r="81" spans="1:10" ht="12" customHeight="1">
      <c r="A81" s="11">
        <v>81</v>
      </c>
      <c r="C81" s="43" t="s">
        <v>73</v>
      </c>
      <c r="D81" s="25">
        <f t="shared" si="1"/>
        <v>58.234182401747525</v>
      </c>
      <c r="E81" s="25">
        <f t="shared" si="2"/>
        <v>59.14244794931048</v>
      </c>
      <c r="F81" s="50">
        <f>(F57-F56)/3</f>
        <v>29.86862709833014</v>
      </c>
      <c r="G81" s="50">
        <f>(G57-G56)/3</f>
        <v>49.99085031544172</v>
      </c>
      <c r="H81" s="22"/>
      <c r="I81" s="21"/>
      <c r="J81" s="21"/>
    </row>
    <row r="82" spans="1:10" ht="12" customHeight="1">
      <c r="A82" s="11">
        <v>82</v>
      </c>
      <c r="C82" s="43" t="s">
        <v>74</v>
      </c>
      <c r="D82" s="25">
        <f t="shared" si="1"/>
        <v>57.25233619687497</v>
      </c>
      <c r="E82" s="25">
        <f t="shared" si="2"/>
        <v>-60.826868750109114</v>
      </c>
      <c r="F82" s="50">
        <f>(F58-F57)/3</f>
        <v>27.907665610153206</v>
      </c>
      <c r="G82" s="50">
        <f>(G58-G57)/3</f>
        <v>-49.989920986053505</v>
      </c>
      <c r="H82" s="22"/>
      <c r="I82" s="21"/>
      <c r="J82" s="51"/>
    </row>
    <row r="83" spans="1:10" ht="12" customHeight="1">
      <c r="A83" s="11">
        <v>83</v>
      </c>
      <c r="B83" s="251" t="s">
        <v>109</v>
      </c>
      <c r="C83" s="251"/>
      <c r="D83" s="249"/>
      <c r="E83" s="249"/>
      <c r="F83" s="249"/>
      <c r="G83" s="260"/>
      <c r="H83" s="260"/>
      <c r="I83" s="257"/>
      <c r="J83" s="255"/>
    </row>
    <row r="84" spans="1:10" ht="12" customHeight="1">
      <c r="A84" s="11">
        <v>84</v>
      </c>
      <c r="B84" s="44" t="s">
        <v>9</v>
      </c>
      <c r="C84" s="44"/>
      <c r="D84" s="25" t="s">
        <v>93</v>
      </c>
      <c r="E84" s="25" t="s">
        <v>94</v>
      </c>
      <c r="F84" s="25" t="s">
        <v>95</v>
      </c>
      <c r="G84" s="22" t="s">
        <v>14</v>
      </c>
      <c r="H84" s="184"/>
      <c r="I84" s="56"/>
      <c r="J84" s="21"/>
    </row>
    <row r="85" spans="1:10" ht="12" customHeight="1">
      <c r="A85" s="11">
        <v>85</v>
      </c>
      <c r="C85" s="36" t="s">
        <v>7</v>
      </c>
      <c r="D85" s="12">
        <f>D70*D76*D86</f>
        <v>106.30709610905365</v>
      </c>
      <c r="E85" s="12">
        <f>D71*D77*E86</f>
        <v>128.89907498065236</v>
      </c>
      <c r="F85" s="12">
        <f>D72*D78*F86</f>
        <v>126.00083012295374</v>
      </c>
      <c r="G85" s="13">
        <f>D85+E85+F85</f>
        <v>361.20700121265975</v>
      </c>
      <c r="H85" s="215" t="s">
        <v>219</v>
      </c>
      <c r="I85" s="21"/>
      <c r="J85" s="10"/>
    </row>
    <row r="86" spans="1:10" ht="12" customHeight="1">
      <c r="A86" s="11">
        <v>86</v>
      </c>
      <c r="C86" s="33" t="s">
        <v>68</v>
      </c>
      <c r="D86" s="23">
        <f>COS((E76-E70)/180*PI())</f>
        <v>0.7999903489201886</v>
      </c>
      <c r="E86" s="23">
        <f>COS((E77-E71)/180*PI())</f>
        <v>0.8853842857543702</v>
      </c>
      <c r="F86" s="23">
        <f>COS((E78-E72)/180*PI())</f>
        <v>0.815110390589786</v>
      </c>
      <c r="G86" s="21"/>
      <c r="H86" s="181"/>
      <c r="I86" s="21"/>
      <c r="J86" s="59"/>
    </row>
    <row r="87" spans="1:10" ht="12" customHeight="1">
      <c r="A87" s="11">
        <v>87</v>
      </c>
      <c r="C87" s="33" t="s">
        <v>96</v>
      </c>
      <c r="D87" s="25">
        <f>ACOS(D86)*180/PI()</f>
        <v>36.87081924619635</v>
      </c>
      <c r="E87" s="25">
        <f>ACOS(E86)*180/PI()</f>
        <v>27.701151213295645</v>
      </c>
      <c r="F87" s="25">
        <f>ACOS(F86)*180/PI()</f>
        <v>35.40172147820567</v>
      </c>
      <c r="G87" s="21"/>
      <c r="H87" s="182"/>
      <c r="I87" s="36"/>
      <c r="J87" s="21"/>
    </row>
    <row r="88" spans="1:10" ht="12" customHeight="1">
      <c r="A88" s="11">
        <v>88</v>
      </c>
      <c r="C88" s="105"/>
      <c r="D88" s="70" t="s">
        <v>116</v>
      </c>
      <c r="E88" s="69"/>
      <c r="F88" s="70" t="s">
        <v>117</v>
      </c>
      <c r="G88" s="71" t="s">
        <v>108</v>
      </c>
      <c r="H88" s="69"/>
      <c r="I88" s="69"/>
      <c r="J88" s="72" t="s">
        <v>111</v>
      </c>
    </row>
    <row r="89" spans="1:10" ht="12" customHeight="1">
      <c r="A89" s="11">
        <v>89</v>
      </c>
      <c r="C89" s="29" t="s">
        <v>187</v>
      </c>
      <c r="D89" s="14">
        <f>D50*D70*COS((E50-E70)/180*PI())</f>
        <v>92.27799653467157</v>
      </c>
      <c r="E89" s="14" t="s">
        <v>8</v>
      </c>
      <c r="F89" s="14">
        <f>D57*D72*COS((E57-E72)/180*PI())</f>
        <v>268.9290046779882</v>
      </c>
      <c r="G89" s="15">
        <f>D89+F89</f>
        <v>361.20700121265975</v>
      </c>
      <c r="H89" s="215" t="s">
        <v>220</v>
      </c>
      <c r="I89" s="21"/>
      <c r="J89" s="180">
        <f>(G89-G85)/G85*100</f>
        <v>0</v>
      </c>
    </row>
    <row r="90" spans="1:10" ht="12" customHeight="1">
      <c r="A90" s="11">
        <v>90</v>
      </c>
      <c r="C90" s="33" t="s">
        <v>97</v>
      </c>
      <c r="D90" s="62">
        <f>E50-E70</f>
        <v>66.56989764584401</v>
      </c>
      <c r="E90" s="64"/>
      <c r="F90" s="62">
        <f>E57-E72</f>
        <v>5.104970037609618</v>
      </c>
      <c r="G90" s="65"/>
      <c r="H90" s="182"/>
      <c r="I90" s="21"/>
      <c r="J90" s="21"/>
    </row>
    <row r="91" spans="1:10" ht="12" customHeight="1">
      <c r="A91" s="11">
        <v>91</v>
      </c>
      <c r="B91" s="145" t="s">
        <v>10</v>
      </c>
      <c r="C91" s="145"/>
      <c r="D91" s="70" t="s">
        <v>113</v>
      </c>
      <c r="E91" s="70" t="s">
        <v>114</v>
      </c>
      <c r="F91" s="70" t="s">
        <v>115</v>
      </c>
      <c r="G91" s="71" t="s">
        <v>217</v>
      </c>
      <c r="H91" s="185"/>
      <c r="I91" s="146"/>
      <c r="J91" s="105"/>
    </row>
    <row r="92" spans="1:10" ht="12" customHeight="1">
      <c r="A92" s="11">
        <v>92</v>
      </c>
      <c r="C92" s="36" t="s">
        <v>110</v>
      </c>
      <c r="D92" s="14">
        <f>D51*D70*COS((E51-E70)/180*PI())/SQRT(3)</f>
        <v>77.57583938684462</v>
      </c>
      <c r="E92" s="14">
        <f>D52*D71*COS((E52-E71)/180*PI())/SQRT(3)</f>
        <v>67.8789592013403</v>
      </c>
      <c r="F92" s="14">
        <f>D50*D72*COS((E50-E72)/180*PI())/SQRT(3)</f>
        <v>92.29262691865827</v>
      </c>
      <c r="G92" s="13">
        <f>D92+E92+F92</f>
        <v>237.7474255068432</v>
      </c>
      <c r="H92" s="215" t="s">
        <v>219</v>
      </c>
      <c r="I92" s="21"/>
      <c r="J92" s="68"/>
    </row>
    <row r="93" spans="1:10" ht="12" customHeight="1">
      <c r="A93" s="11">
        <v>93</v>
      </c>
      <c r="C93" s="33" t="s">
        <v>69</v>
      </c>
      <c r="D93" s="23">
        <f>SIN((E76-E70)/180*PI())</f>
        <v>0.6000128678908102</v>
      </c>
      <c r="E93" s="23">
        <f>SIN((E77-E71)/180*PI())</f>
        <v>0.4648598353689246</v>
      </c>
      <c r="F93" s="23">
        <f>SIN((E78-E72)/180*PI())</f>
        <v>0.5793056629729824</v>
      </c>
      <c r="G93" s="21"/>
      <c r="H93" s="183"/>
      <c r="I93" s="36"/>
      <c r="J93" s="21"/>
    </row>
    <row r="94" spans="1:10" ht="12" customHeight="1">
      <c r="A94" s="11">
        <v>94</v>
      </c>
      <c r="C94" s="106"/>
      <c r="D94" s="70" t="s">
        <v>118</v>
      </c>
      <c r="E94" s="70"/>
      <c r="F94" s="70" t="s">
        <v>119</v>
      </c>
      <c r="G94" s="71" t="s">
        <v>218</v>
      </c>
      <c r="H94" s="69"/>
      <c r="I94" s="72"/>
      <c r="J94" s="74" t="s">
        <v>112</v>
      </c>
    </row>
    <row r="95" spans="1:10" ht="12" customHeight="1">
      <c r="A95" s="11">
        <v>95</v>
      </c>
      <c r="C95" s="29" t="s">
        <v>188</v>
      </c>
      <c r="D95" s="14">
        <f>D76*D72*COS((E76-E72)/180*PI())*SQRT(3)</f>
        <v>29.31902059358191</v>
      </c>
      <c r="E95" s="14" t="s">
        <v>8</v>
      </c>
      <c r="F95" s="14">
        <f>D78*D70*COS((E78-E70)/180*PI())*SQRT(3)</f>
        <v>-208.42840491326123</v>
      </c>
      <c r="G95" s="15">
        <f>D95-F95</f>
        <v>237.74742550684314</v>
      </c>
      <c r="H95" s="215" t="s">
        <v>220</v>
      </c>
      <c r="I95" s="21"/>
      <c r="J95" s="180">
        <f>(G95-G92)/G92*100</f>
        <v>-2.3909162734202505E-14</v>
      </c>
    </row>
    <row r="96" spans="1:9" ht="12" customHeight="1">
      <c r="A96" s="11">
        <v>96</v>
      </c>
      <c r="C96" s="33" t="s">
        <v>97</v>
      </c>
      <c r="D96" s="62">
        <f>E76-E72</f>
        <v>-83.77048817133287</v>
      </c>
      <c r="E96" s="64"/>
      <c r="F96" s="62">
        <f>E78-E70</f>
        <v>156.0430288957349</v>
      </c>
      <c r="G96" s="65"/>
      <c r="H96" s="21"/>
      <c r="I96" s="21"/>
    </row>
    <row r="97" spans="1:10" ht="12" customHeight="1">
      <c r="A97" s="11">
        <v>97</v>
      </c>
      <c r="B97" s="252" t="s">
        <v>58</v>
      </c>
      <c r="C97" s="252"/>
      <c r="D97" s="255"/>
      <c r="E97" s="255"/>
      <c r="F97" s="255"/>
      <c r="G97" s="255"/>
      <c r="H97" s="255"/>
      <c r="I97" s="255"/>
      <c r="J97" s="255"/>
    </row>
    <row r="98" spans="1:10" ht="12" customHeight="1">
      <c r="A98" s="11">
        <v>98</v>
      </c>
      <c r="B98" s="26" t="s">
        <v>103</v>
      </c>
      <c r="C98" s="26"/>
      <c r="D98" s="2" t="s">
        <v>102</v>
      </c>
      <c r="E98" s="25" t="s">
        <v>59</v>
      </c>
      <c r="F98" s="21"/>
      <c r="G98" s="21"/>
      <c r="H98" s="21"/>
      <c r="I98" s="25" t="s">
        <v>100</v>
      </c>
      <c r="J98" s="16">
        <v>314.16</v>
      </c>
    </row>
    <row r="99" spans="1:10" s="8" customFormat="1" ht="12" customHeight="1">
      <c r="A99" s="11">
        <v>99</v>
      </c>
      <c r="B99" s="21"/>
      <c r="C99" s="36" t="s">
        <v>60</v>
      </c>
      <c r="D99" s="16">
        <v>480</v>
      </c>
      <c r="E99" s="96">
        <v>1.2</v>
      </c>
      <c r="F99" s="21"/>
      <c r="G99" s="21"/>
      <c r="H99" s="21"/>
      <c r="I99" s="30" t="s">
        <v>101</v>
      </c>
      <c r="J99" s="67">
        <f>J98/(2*50*PI())</f>
        <v>1.0000023384349968</v>
      </c>
    </row>
    <row r="100" spans="1:10" ht="12" customHeight="1">
      <c r="A100" s="11">
        <v>100</v>
      </c>
      <c r="C100" s="45"/>
      <c r="D100" s="25" t="s">
        <v>61</v>
      </c>
      <c r="E100" s="25" t="s">
        <v>62</v>
      </c>
      <c r="F100" s="23" t="s">
        <v>1</v>
      </c>
      <c r="G100" s="23" t="s">
        <v>2</v>
      </c>
      <c r="H100" s="57"/>
      <c r="I100" s="25" t="s">
        <v>99</v>
      </c>
      <c r="J100" s="25">
        <f>2*50*PI()*E99</f>
        <v>376.9911184307752</v>
      </c>
    </row>
    <row r="101" spans="1:10" ht="12" customHeight="1">
      <c r="A101" s="11">
        <v>101</v>
      </c>
      <c r="C101" s="33" t="s">
        <v>63</v>
      </c>
      <c r="D101" s="118">
        <f>SQRT(F101^2+G101^2)</f>
        <v>610.3460521504884</v>
      </c>
      <c r="E101" s="118">
        <f>ATAN2(F101,G101)*180/PI()</f>
        <v>38.14602598722255</v>
      </c>
      <c r="F101" s="119">
        <f>D99</f>
        <v>480</v>
      </c>
      <c r="G101" s="119">
        <f>J100</f>
        <v>376.9911184307752</v>
      </c>
      <c r="H101" s="22"/>
      <c r="I101" s="21"/>
      <c r="J101" s="26"/>
    </row>
    <row r="102" spans="1:10" ht="12" customHeight="1">
      <c r="A102" s="11">
        <v>102</v>
      </c>
      <c r="D102" s="25" t="s">
        <v>102</v>
      </c>
      <c r="E102" s="25" t="s">
        <v>59</v>
      </c>
      <c r="F102" s="49"/>
      <c r="G102" s="25"/>
      <c r="H102" s="21"/>
      <c r="I102" s="25" t="s">
        <v>100</v>
      </c>
      <c r="J102" s="16">
        <v>314.16</v>
      </c>
    </row>
    <row r="103" spans="1:10" s="8" customFormat="1" ht="12" customHeight="1">
      <c r="A103" s="11">
        <v>103</v>
      </c>
      <c r="B103" s="21"/>
      <c r="C103" s="36" t="s">
        <v>60</v>
      </c>
      <c r="D103" s="16">
        <v>510</v>
      </c>
      <c r="E103" s="96">
        <v>1.25</v>
      </c>
      <c r="F103" s="23" t="s">
        <v>1</v>
      </c>
      <c r="G103" s="23" t="s">
        <v>2</v>
      </c>
      <c r="H103" s="21"/>
      <c r="I103" s="30" t="s">
        <v>101</v>
      </c>
      <c r="J103" s="19">
        <f>J102/(2*50*PI())</f>
        <v>1.0000023384349968</v>
      </c>
    </row>
    <row r="104" spans="1:10" ht="12" customHeight="1">
      <c r="A104" s="11">
        <v>104</v>
      </c>
      <c r="C104" s="33" t="s">
        <v>64</v>
      </c>
      <c r="D104" s="118">
        <f>SQRT(F104^2+G104^2)</f>
        <v>643.6711650889927</v>
      </c>
      <c r="E104" s="118">
        <f>ATAN2(F104,G104)*180/PI()</f>
        <v>37.59620638084897</v>
      </c>
      <c r="F104" s="119">
        <f>D103</f>
        <v>510</v>
      </c>
      <c r="G104" s="119">
        <f>J104</f>
        <v>392.69908169872417</v>
      </c>
      <c r="H104" s="22"/>
      <c r="I104" s="25" t="s">
        <v>99</v>
      </c>
      <c r="J104" s="25">
        <f>2*50*PI()*E103</f>
        <v>392.69908169872417</v>
      </c>
    </row>
    <row r="105" spans="1:10" ht="12" customHeight="1">
      <c r="A105" s="11">
        <v>105</v>
      </c>
      <c r="D105" s="25" t="s">
        <v>102</v>
      </c>
      <c r="E105" s="25" t="s">
        <v>59</v>
      </c>
      <c r="F105" s="49"/>
      <c r="G105" s="25"/>
      <c r="H105" s="21"/>
      <c r="I105" s="21"/>
      <c r="J105" s="21"/>
    </row>
    <row r="106" spans="1:10" ht="12" customHeight="1">
      <c r="A106" s="11">
        <v>106</v>
      </c>
      <c r="C106" s="36" t="s">
        <v>60</v>
      </c>
      <c r="D106" s="16">
        <v>500</v>
      </c>
      <c r="E106" s="96">
        <v>1.15</v>
      </c>
      <c r="F106" s="23" t="s">
        <v>1</v>
      </c>
      <c r="G106" s="23" t="s">
        <v>2</v>
      </c>
      <c r="H106" s="22"/>
      <c r="I106" s="25" t="s">
        <v>100</v>
      </c>
      <c r="J106" s="16">
        <v>314.16</v>
      </c>
    </row>
    <row r="107" spans="1:10" s="8" customFormat="1" ht="12" customHeight="1">
      <c r="A107" s="11">
        <v>107</v>
      </c>
      <c r="B107" s="21"/>
      <c r="C107" s="33" t="s">
        <v>65</v>
      </c>
      <c r="D107" s="53">
        <f>SQRT(F107^2+G107^2)</f>
        <v>616.8675045780956</v>
      </c>
      <c r="E107" s="53">
        <f>ATAN2(F107,G107)*180/PI()</f>
        <v>35.850607418335656</v>
      </c>
      <c r="F107" s="25">
        <f>D106</f>
        <v>500</v>
      </c>
      <c r="G107" s="25">
        <f>J108</f>
        <v>361.2831551628262</v>
      </c>
      <c r="H107" s="22"/>
      <c r="I107" s="30" t="s">
        <v>101</v>
      </c>
      <c r="J107" s="67">
        <f>J106/(2*50*PI())</f>
        <v>1.0000023384349968</v>
      </c>
    </row>
    <row r="108" spans="1:10" s="8" customFormat="1" ht="12" customHeight="1">
      <c r="A108" s="11">
        <v>108</v>
      </c>
      <c r="B108" s="21"/>
      <c r="C108" s="21"/>
      <c r="D108" s="21"/>
      <c r="E108" s="21"/>
      <c r="F108" s="21"/>
      <c r="G108" s="21"/>
      <c r="H108" s="22"/>
      <c r="I108" s="25" t="s">
        <v>99</v>
      </c>
      <c r="J108" s="25">
        <f>2*50*PI()*E106</f>
        <v>361.2831551628262</v>
      </c>
    </row>
    <row r="109" spans="1:10" s="8" customFormat="1" ht="12" customHeight="1">
      <c r="A109" s="11">
        <v>109</v>
      </c>
      <c r="B109" s="107" t="s">
        <v>66</v>
      </c>
      <c r="C109" s="107"/>
      <c r="D109" s="79" t="s">
        <v>0</v>
      </c>
      <c r="E109" s="79" t="s">
        <v>15</v>
      </c>
      <c r="F109" s="79" t="s">
        <v>1</v>
      </c>
      <c r="G109" s="79" t="s">
        <v>2</v>
      </c>
      <c r="H109" s="22"/>
      <c r="I109" s="22"/>
      <c r="J109" s="31"/>
    </row>
    <row r="110" spans="1:10" s="8" customFormat="1" ht="12" customHeight="1">
      <c r="A110" s="11">
        <v>110</v>
      </c>
      <c r="B110" s="21"/>
      <c r="C110" s="33" t="s">
        <v>63</v>
      </c>
      <c r="D110" s="31">
        <f>D101</f>
        <v>610.3460521504884</v>
      </c>
      <c r="E110" s="25">
        <f>E101</f>
        <v>38.14602598722255</v>
      </c>
      <c r="F110" s="50">
        <f>(COS((E110)/180*PI())*D110)</f>
        <v>479.99999999999994</v>
      </c>
      <c r="G110" s="50">
        <f>(SIN((E110)/180*PI())*D110)</f>
        <v>376.9911184307752</v>
      </c>
      <c r="H110" s="22"/>
      <c r="I110" s="22"/>
      <c r="J110" s="31"/>
    </row>
    <row r="111" spans="1:10" s="8" customFormat="1" ht="12" customHeight="1">
      <c r="A111" s="11">
        <v>111</v>
      </c>
      <c r="B111" s="21"/>
      <c r="C111" s="33" t="s">
        <v>64</v>
      </c>
      <c r="D111" s="31">
        <f>D104</f>
        <v>643.6711650889927</v>
      </c>
      <c r="E111" s="25">
        <f>E104</f>
        <v>37.59620638084897</v>
      </c>
      <c r="F111" s="50">
        <f>(COS((E111)/180*PI())*D111)</f>
        <v>509.99999999999994</v>
      </c>
      <c r="G111" s="50">
        <f>(SIN((E111)/180*PI())*D111)</f>
        <v>392.69908169872417</v>
      </c>
      <c r="H111" s="22"/>
      <c r="I111" s="22"/>
      <c r="J111" s="31"/>
    </row>
    <row r="112" spans="1:10" s="8" customFormat="1" ht="12" customHeight="1">
      <c r="A112" s="11">
        <v>112</v>
      </c>
      <c r="B112" s="21"/>
      <c r="C112" s="33" t="s">
        <v>65</v>
      </c>
      <c r="D112" s="31">
        <f>D107</f>
        <v>616.8675045780956</v>
      </c>
      <c r="E112" s="25">
        <f>E107</f>
        <v>35.850607418335656</v>
      </c>
      <c r="F112" s="50">
        <f>(COS((E112)/180*PI())*D112)</f>
        <v>500</v>
      </c>
      <c r="G112" s="50">
        <f>(SIN((E112)/180*PI())*D112)</f>
        <v>361.28315516282623</v>
      </c>
      <c r="H112" s="22"/>
      <c r="I112" s="22"/>
      <c r="J112" s="21"/>
    </row>
    <row r="113" spans="1:10" ht="12" customHeight="1">
      <c r="A113" s="11">
        <v>113</v>
      </c>
      <c r="C113" s="33" t="s">
        <v>67</v>
      </c>
      <c r="D113" s="50">
        <f aca="true" t="shared" si="3" ref="D113:D119">SQRT(F113^2+G113^2)</f>
        <v>1870.6452978094778</v>
      </c>
      <c r="E113" s="25">
        <f aca="true" t="shared" si="4" ref="E113:E119">ATAN2(F113,G113)*180/PI()</f>
        <v>37.201263727254634</v>
      </c>
      <c r="F113" s="50">
        <f>F110+F111+F112</f>
        <v>1490</v>
      </c>
      <c r="G113" s="50">
        <f>G110+G111+G112+0.05</f>
        <v>1131.0233552923255</v>
      </c>
      <c r="H113" s="22"/>
      <c r="I113" s="22"/>
      <c r="J113" s="21"/>
    </row>
    <row r="114" spans="1:10" ht="12" customHeight="1">
      <c r="A114" s="11">
        <v>114</v>
      </c>
      <c r="C114" s="33" t="s">
        <v>87</v>
      </c>
      <c r="D114" s="50">
        <f t="shared" si="3"/>
        <v>376502.64611916395</v>
      </c>
      <c r="E114" s="25">
        <f t="shared" si="4"/>
        <v>73.99663340555821</v>
      </c>
      <c r="F114" s="50">
        <f>COS((E110+E112)/180*PI())*D110*D112</f>
        <v>103799.45926496682</v>
      </c>
      <c r="G114" s="50">
        <f>SIN((E110+E112)/180*PI())*D110*D112</f>
        <v>361911.47369354416</v>
      </c>
      <c r="H114" s="22"/>
      <c r="I114" s="22"/>
      <c r="J114" s="21"/>
    </row>
    <row r="115" spans="1:10" ht="12" customHeight="1">
      <c r="A115" s="11">
        <v>115</v>
      </c>
      <c r="C115" s="33" t="s">
        <v>88</v>
      </c>
      <c r="D115" s="50">
        <f t="shared" si="3"/>
        <v>392862.1544951719</v>
      </c>
      <c r="E115" s="25">
        <f t="shared" si="4"/>
        <v>75.74223236807151</v>
      </c>
      <c r="F115" s="50">
        <f>COS((E111+E110)/180*PI())*D111*D110</f>
        <v>96755.93398365962</v>
      </c>
      <c r="G115" s="50">
        <f>SIN((E111+E110)/180*PI())*D111*D110</f>
        <v>380761.0296150829</v>
      </c>
      <c r="H115" s="22"/>
      <c r="I115" s="22"/>
      <c r="J115" s="21"/>
    </row>
    <row r="116" spans="1:10" ht="12" customHeight="1">
      <c r="A116" s="11">
        <v>116</v>
      </c>
      <c r="C116" s="33" t="s">
        <v>89</v>
      </c>
      <c r="D116" s="50">
        <f t="shared" si="3"/>
        <v>397059.8253773223</v>
      </c>
      <c r="E116" s="25">
        <f t="shared" si="4"/>
        <v>73.44681379918462</v>
      </c>
      <c r="F116" s="50">
        <f>COS((E112+E111)/180*PI())*D112*D111</f>
        <v>113124.43673434049</v>
      </c>
      <c r="G116" s="50">
        <f>SIN((E112+E111)/180*PI())*D112*D111</f>
        <v>380603.9499824035</v>
      </c>
      <c r="H116" s="22"/>
      <c r="I116" s="22"/>
      <c r="J116" s="21"/>
    </row>
    <row r="117" spans="1:10" ht="12" customHeight="1">
      <c r="A117" s="11">
        <v>117</v>
      </c>
      <c r="C117" s="33" t="s">
        <v>90</v>
      </c>
      <c r="D117" s="114">
        <f t="shared" si="3"/>
        <v>201.26885976729412</v>
      </c>
      <c r="E117" s="115">
        <f t="shared" si="4"/>
        <v>36.79536967830359</v>
      </c>
      <c r="F117" s="112">
        <f>(COS((E114-E113)/180*PI())*D114/D113)</f>
        <v>161.1720328512334</v>
      </c>
      <c r="G117" s="112">
        <f>(SIN((E114-E113)/180*PI())*D114/D113)</f>
        <v>120.55177202607868</v>
      </c>
      <c r="H117" s="22"/>
      <c r="I117" s="22"/>
      <c r="J117" s="21"/>
    </row>
    <row r="118" spans="1:10" ht="12" customHeight="1">
      <c r="A118" s="11">
        <v>118</v>
      </c>
      <c r="C118" s="33" t="s">
        <v>91</v>
      </c>
      <c r="D118" s="51">
        <f t="shared" si="3"/>
        <v>210.01424212019924</v>
      </c>
      <c r="E118" s="53">
        <f t="shared" si="4"/>
        <v>38.54096864081688</v>
      </c>
      <c r="F118" s="50">
        <f>(COS((E115-E113)/180*PI())*D115/D113)</f>
        <v>164.26533509281344</v>
      </c>
      <c r="G118" s="50">
        <f>(SIN((E115-E113)/180*PI())*D115/D113)</f>
        <v>130.85442896657102</v>
      </c>
      <c r="H118" s="36"/>
      <c r="I118" s="21"/>
      <c r="J118" s="26"/>
    </row>
    <row r="119" spans="1:10" ht="12" customHeight="1">
      <c r="A119" s="11">
        <v>119</v>
      </c>
      <c r="C119" s="33" t="s">
        <v>92</v>
      </c>
      <c r="D119" s="51">
        <f t="shared" si="3"/>
        <v>212.25821156061957</v>
      </c>
      <c r="E119" s="53">
        <f t="shared" si="4"/>
        <v>36.24555007192999</v>
      </c>
      <c r="F119" s="50">
        <f>(COS((E116-E113)/180*PI())*D116/D113)</f>
        <v>171.18423678040915</v>
      </c>
      <c r="G119" s="50">
        <f>(SIN((E116-E113)/180*PI())*D116/D113)</f>
        <v>125.49703364152296</v>
      </c>
      <c r="H119" s="26"/>
      <c r="I119" s="21"/>
      <c r="J119" s="21"/>
    </row>
    <row r="120" spans="1:10" ht="12" customHeight="1">
      <c r="A120" s="11">
        <v>120</v>
      </c>
      <c r="C120" s="33"/>
      <c r="D120" s="51"/>
      <c r="E120" s="53"/>
      <c r="F120" s="50"/>
      <c r="G120" s="50"/>
      <c r="H120" s="26"/>
      <c r="I120" s="21"/>
      <c r="J120" s="21"/>
    </row>
    <row r="121" spans="1:10" ht="12" customHeight="1">
      <c r="A121" s="11">
        <v>121</v>
      </c>
      <c r="B121" s="248" t="s">
        <v>122</v>
      </c>
      <c r="C121" s="248"/>
      <c r="D121" s="250"/>
      <c r="E121" s="250"/>
      <c r="F121" s="250"/>
      <c r="G121" s="250"/>
      <c r="H121" s="250"/>
      <c r="I121" s="250"/>
      <c r="J121" s="250"/>
    </row>
    <row r="122" spans="1:10" ht="12" customHeight="1">
      <c r="A122" s="11">
        <v>122</v>
      </c>
      <c r="B122" s="26" t="s">
        <v>140</v>
      </c>
      <c r="C122" s="26"/>
      <c r="D122" s="21"/>
      <c r="E122" s="21"/>
      <c r="F122" s="21"/>
      <c r="G122" s="21"/>
      <c r="H122" s="21"/>
      <c r="I122" s="58"/>
      <c r="J122" s="21"/>
    </row>
    <row r="123" spans="1:10" ht="12" customHeight="1">
      <c r="A123" s="11">
        <v>123</v>
      </c>
      <c r="B123" s="108" t="s">
        <v>125</v>
      </c>
      <c r="C123" s="235" t="s">
        <v>139</v>
      </c>
      <c r="D123" s="117" t="s">
        <v>27</v>
      </c>
      <c r="E123" s="153" t="s">
        <v>30</v>
      </c>
      <c r="F123" s="153" t="s">
        <v>131</v>
      </c>
      <c r="G123" s="153" t="s">
        <v>130</v>
      </c>
      <c r="H123" s="160" t="s">
        <v>144</v>
      </c>
      <c r="I123" s="161" t="s">
        <v>152</v>
      </c>
      <c r="J123" s="21"/>
    </row>
    <row r="124" spans="1:9" ht="12" customHeight="1">
      <c r="A124" s="11">
        <v>124</v>
      </c>
      <c r="B124" s="234" t="s">
        <v>153</v>
      </c>
      <c r="C124" s="46"/>
      <c r="D124" s="223">
        <v>1000</v>
      </c>
      <c r="E124" s="224">
        <v>800</v>
      </c>
      <c r="F124" s="224">
        <v>110</v>
      </c>
      <c r="G124" s="224">
        <v>800</v>
      </c>
      <c r="H124" s="224">
        <v>260</v>
      </c>
      <c r="I124" s="225">
        <v>34576</v>
      </c>
    </row>
    <row r="125" spans="1:10" ht="12" customHeight="1">
      <c r="A125" s="11">
        <v>125</v>
      </c>
      <c r="C125" s="29"/>
      <c r="D125" s="150" t="s">
        <v>124</v>
      </c>
      <c r="E125" s="116" t="s">
        <v>160</v>
      </c>
      <c r="F125" s="204" t="s">
        <v>195</v>
      </c>
      <c r="G125" s="179"/>
      <c r="H125" s="116" t="s">
        <v>134</v>
      </c>
      <c r="I125" s="198" t="s">
        <v>199</v>
      </c>
      <c r="J125" s="21"/>
    </row>
    <row r="126" spans="1:10" ht="12" customHeight="1">
      <c r="A126" s="11">
        <v>126</v>
      </c>
      <c r="D126" s="219">
        <f>((I124*D124*E124)/H124)/1000</f>
        <v>106387.6923076923</v>
      </c>
      <c r="E126" s="152">
        <f>F124*G124*SQRT(3)/1000</f>
        <v>152.4204710660612</v>
      </c>
      <c r="F126" s="105"/>
      <c r="G126" s="105"/>
      <c r="H126" s="164">
        <f>H124/(3600*1000)</f>
        <v>7.222222222222222E-05</v>
      </c>
      <c r="I126" s="141">
        <f>D126*1000000*3600</f>
        <v>382995692307692.25</v>
      </c>
      <c r="J126" s="105"/>
    </row>
    <row r="127" spans="1:10" ht="12" customHeight="1">
      <c r="A127" s="11">
        <v>127</v>
      </c>
      <c r="B127" s="109" t="s">
        <v>126</v>
      </c>
      <c r="C127" s="39" t="s">
        <v>137</v>
      </c>
      <c r="D127" s="126"/>
      <c r="E127" s="105"/>
      <c r="F127" s="105"/>
      <c r="G127" s="105"/>
      <c r="H127" s="151"/>
      <c r="I127" s="149"/>
      <c r="J127" s="147"/>
    </row>
    <row r="128" spans="1:10" ht="12" customHeight="1">
      <c r="A128" s="11">
        <v>128</v>
      </c>
      <c r="C128" s="46"/>
      <c r="D128" s="117" t="s">
        <v>27</v>
      </c>
      <c r="E128" s="153" t="s">
        <v>30</v>
      </c>
      <c r="F128" s="153" t="s">
        <v>129</v>
      </c>
      <c r="G128" s="116" t="s">
        <v>135</v>
      </c>
      <c r="H128" s="167" t="s">
        <v>143</v>
      </c>
      <c r="I128" s="21"/>
      <c r="J128" s="105"/>
    </row>
    <row r="129" spans="1:10" ht="12" customHeight="1">
      <c r="A129" s="11">
        <v>129</v>
      </c>
      <c r="D129" s="223">
        <v>1000</v>
      </c>
      <c r="E129" s="162">
        <v>800</v>
      </c>
      <c r="F129" s="162">
        <v>160</v>
      </c>
      <c r="G129" s="165">
        <v>1</v>
      </c>
      <c r="H129" s="101">
        <f>G129/60</f>
        <v>0.016666666666666666</v>
      </c>
      <c r="I129" s="21"/>
      <c r="J129" s="105"/>
    </row>
    <row r="130" spans="1:10" ht="12" customHeight="1">
      <c r="A130" s="11">
        <v>130</v>
      </c>
      <c r="D130" s="166" t="s">
        <v>134</v>
      </c>
      <c r="E130" s="160" t="s">
        <v>144</v>
      </c>
      <c r="F130" s="81"/>
      <c r="G130" s="105"/>
      <c r="H130" s="23"/>
      <c r="I130" s="31"/>
      <c r="J130" s="105"/>
    </row>
    <row r="131" spans="1:10" ht="12" customHeight="1">
      <c r="A131" s="11">
        <v>131</v>
      </c>
      <c r="D131" s="168">
        <f>((H129*D129*E129)/(F129*1000000))</f>
        <v>8.333333333333333E-05</v>
      </c>
      <c r="E131" s="169">
        <f>D131*3600*1000</f>
        <v>300</v>
      </c>
      <c r="F131" s="81"/>
      <c r="G131" s="105"/>
      <c r="H131" s="148"/>
      <c r="I131" s="64"/>
      <c r="J131" s="105"/>
    </row>
    <row r="132" spans="1:10" ht="12" customHeight="1">
      <c r="A132" s="11">
        <v>132</v>
      </c>
      <c r="B132" s="109" t="s">
        <v>138</v>
      </c>
      <c r="C132" s="236" t="s">
        <v>231</v>
      </c>
      <c r="D132" s="126"/>
      <c r="E132" s="105"/>
      <c r="F132" s="105"/>
      <c r="G132" s="105"/>
      <c r="H132" s="105"/>
      <c r="I132" s="105"/>
      <c r="J132" s="105"/>
    </row>
    <row r="133" spans="1:10" ht="12" customHeight="1">
      <c r="A133" s="11">
        <v>133</v>
      </c>
      <c r="C133" s="47"/>
      <c r="D133" s="21"/>
      <c r="E133" s="21"/>
      <c r="G133" s="21"/>
      <c r="H133" s="21"/>
      <c r="I133" s="21"/>
      <c r="J133" s="105"/>
    </row>
    <row r="134" spans="1:10" ht="12" customHeight="1">
      <c r="A134" s="11">
        <v>134</v>
      </c>
      <c r="C134" s="36" t="s">
        <v>200</v>
      </c>
      <c r="D134" s="226">
        <v>5460</v>
      </c>
      <c r="E134" s="21"/>
      <c r="F134" s="21"/>
      <c r="G134" s="21"/>
      <c r="H134" s="21"/>
      <c r="I134" s="21"/>
      <c r="J134" s="105"/>
    </row>
    <row r="135" spans="1:10" ht="12" customHeight="1">
      <c r="A135" s="11">
        <v>135</v>
      </c>
      <c r="C135" s="36" t="s">
        <v>201</v>
      </c>
      <c r="D135" s="200">
        <v>0.15</v>
      </c>
      <c r="E135" s="214" t="s">
        <v>203</v>
      </c>
      <c r="F135" s="21"/>
      <c r="G135" s="21"/>
      <c r="H135" s="21"/>
      <c r="I135" s="21"/>
      <c r="J135" s="105"/>
    </row>
    <row r="136" spans="1:10" ht="12" customHeight="1">
      <c r="A136" s="11">
        <v>136</v>
      </c>
      <c r="C136" s="36" t="s">
        <v>202</v>
      </c>
      <c r="D136" s="199">
        <f>D134/E136</f>
        <v>666.6666666666667</v>
      </c>
      <c r="E136" s="201">
        <f>D134*D135/100</f>
        <v>8.19</v>
      </c>
      <c r="G136" s="21"/>
      <c r="H136" s="21"/>
      <c r="I136" s="21"/>
      <c r="J136" s="105"/>
    </row>
    <row r="137" spans="1:10" ht="12" customHeight="1">
      <c r="A137" s="11">
        <v>137</v>
      </c>
      <c r="D137" s="21"/>
      <c r="E137" s="105"/>
      <c r="F137" s="21"/>
      <c r="G137" s="105"/>
      <c r="H137" s="105"/>
      <c r="I137" s="105"/>
      <c r="J137" s="105"/>
    </row>
    <row r="138" spans="1:10" ht="12" customHeight="1">
      <c r="A138" s="11">
        <v>138</v>
      </c>
      <c r="B138" s="109" t="s">
        <v>127</v>
      </c>
      <c r="C138" s="236" t="s">
        <v>161</v>
      </c>
      <c r="D138" s="105"/>
      <c r="E138" s="105"/>
      <c r="F138" s="105"/>
      <c r="G138" s="105"/>
      <c r="H138" s="105"/>
      <c r="I138" s="149"/>
      <c r="J138" s="105"/>
    </row>
    <row r="139" spans="1:10" ht="12" customHeight="1">
      <c r="A139" s="11">
        <v>139</v>
      </c>
      <c r="B139" s="234" t="s">
        <v>153</v>
      </c>
      <c r="C139" s="47"/>
      <c r="D139" s="117" t="s">
        <v>27</v>
      </c>
      <c r="E139" s="153" t="s">
        <v>30</v>
      </c>
      <c r="F139" s="153" t="s">
        <v>131</v>
      </c>
      <c r="G139" s="153" t="s">
        <v>130</v>
      </c>
      <c r="H139" s="153" t="s">
        <v>132</v>
      </c>
      <c r="I139" s="167" t="s">
        <v>144</v>
      </c>
      <c r="J139" s="22"/>
    </row>
    <row r="140" spans="1:10" ht="12" customHeight="1">
      <c r="A140" s="11">
        <v>140</v>
      </c>
      <c r="D140" s="223">
        <v>1000</v>
      </c>
      <c r="E140" s="162">
        <v>800</v>
      </c>
      <c r="F140" s="162">
        <v>100</v>
      </c>
      <c r="G140" s="162">
        <v>800</v>
      </c>
      <c r="H140" s="162">
        <v>0.9</v>
      </c>
      <c r="I140" s="171">
        <v>260</v>
      </c>
      <c r="J140" s="25"/>
    </row>
    <row r="141" spans="1:10" ht="12" customHeight="1">
      <c r="A141" s="11">
        <v>141</v>
      </c>
      <c r="B141" s="36"/>
      <c r="C141" s="36"/>
      <c r="D141" s="117" t="s">
        <v>136</v>
      </c>
      <c r="E141" s="153" t="s">
        <v>135</v>
      </c>
      <c r="F141" s="153" t="s">
        <v>123</v>
      </c>
      <c r="G141" s="153" t="s">
        <v>160</v>
      </c>
      <c r="H141" s="170"/>
      <c r="I141" s="116" t="s">
        <v>134</v>
      </c>
      <c r="J141" s="21"/>
    </row>
    <row r="142" spans="1:10" ht="12" customHeight="1">
      <c r="A142" s="11">
        <v>142</v>
      </c>
      <c r="D142" s="172">
        <f>(I142*G142)</f>
        <v>0.010007404665953512</v>
      </c>
      <c r="E142" s="173">
        <f>D142*60</f>
        <v>0.6004442799572107</v>
      </c>
      <c r="F142" s="174">
        <f>(F140*G140*H140*SQRT(3))/1000</f>
        <v>124.70765814495915</v>
      </c>
      <c r="G142" s="175">
        <f>F140*G140*SQRT(3)/1000</f>
        <v>138.56406460551017</v>
      </c>
      <c r="H142" s="170"/>
      <c r="I142" s="164">
        <f>I140/(3600*1000)</f>
        <v>7.222222222222222E-05</v>
      </c>
      <c r="J142" s="105"/>
    </row>
    <row r="143" spans="1:10" ht="12" customHeight="1">
      <c r="A143" s="11">
        <v>143</v>
      </c>
      <c r="B143" s="109" t="s">
        <v>128</v>
      </c>
      <c r="C143" s="235" t="s">
        <v>133</v>
      </c>
      <c r="D143" s="105"/>
      <c r="E143" s="141"/>
      <c r="F143" s="151"/>
      <c r="H143" s="105"/>
      <c r="I143" s="105"/>
      <c r="J143" s="141"/>
    </row>
    <row r="144" spans="1:10" ht="12" customHeight="1">
      <c r="A144" s="11">
        <v>144</v>
      </c>
      <c r="B144" s="234" t="s">
        <v>153</v>
      </c>
      <c r="C144" s="46"/>
      <c r="D144" s="117" t="s">
        <v>27</v>
      </c>
      <c r="E144" s="153" t="s">
        <v>30</v>
      </c>
      <c r="F144" s="160" t="s">
        <v>144</v>
      </c>
      <c r="G144" s="153" t="s">
        <v>146</v>
      </c>
      <c r="H144" s="21"/>
      <c r="I144" s="116" t="s">
        <v>134</v>
      </c>
      <c r="J144" s="21"/>
    </row>
    <row r="145" spans="1:10" ht="12" customHeight="1">
      <c r="A145" s="11">
        <v>145</v>
      </c>
      <c r="C145" s="29"/>
      <c r="D145" s="223">
        <v>1000</v>
      </c>
      <c r="E145" s="162">
        <v>800</v>
      </c>
      <c r="F145" s="163">
        <v>260</v>
      </c>
      <c r="G145" s="163">
        <v>92</v>
      </c>
      <c r="H145" s="21"/>
      <c r="I145" s="176">
        <f>(F145/(3600*1000))</f>
        <v>7.222222222222222E-05</v>
      </c>
      <c r="J145" s="21"/>
    </row>
    <row r="146" spans="1:10" ht="12" customHeight="1">
      <c r="A146" s="11">
        <v>146</v>
      </c>
      <c r="B146" s="36"/>
      <c r="C146" s="36"/>
      <c r="D146" s="117" t="s">
        <v>136</v>
      </c>
      <c r="E146" s="153" t="s">
        <v>135</v>
      </c>
      <c r="F146" s="153" t="s">
        <v>123</v>
      </c>
      <c r="G146" s="189" t="s">
        <v>198</v>
      </c>
      <c r="H146" s="105"/>
      <c r="I146" s="21"/>
      <c r="J146" s="26"/>
    </row>
    <row r="147" spans="1:10" ht="12" customHeight="1">
      <c r="A147" s="11">
        <v>147</v>
      </c>
      <c r="D147" s="177">
        <f>1/G145</f>
        <v>0.010869565217391304</v>
      </c>
      <c r="E147" s="178">
        <f>D147*60</f>
        <v>0.6521739130434783</v>
      </c>
      <c r="F147" s="154">
        <f>((D147*D145*E145)/I145)/1000000</f>
        <v>120.40133779264215</v>
      </c>
      <c r="G147" s="81"/>
      <c r="H147" s="126"/>
      <c r="I147" s="21"/>
      <c r="J147" s="26"/>
    </row>
    <row r="148" spans="1:10" ht="12" customHeight="1">
      <c r="A148" s="11">
        <v>148</v>
      </c>
      <c r="E148" s="21"/>
      <c r="F148" s="21"/>
      <c r="G148" s="21"/>
      <c r="H148" s="26"/>
      <c r="I148" s="21"/>
      <c r="J148" s="26"/>
    </row>
    <row r="149" spans="1:10" ht="12" customHeight="1">
      <c r="A149" s="11">
        <v>149</v>
      </c>
      <c r="B149" s="252" t="s">
        <v>222</v>
      </c>
      <c r="C149" s="265"/>
      <c r="D149" s="266"/>
      <c r="E149" s="266"/>
      <c r="F149" s="266"/>
      <c r="G149" s="266"/>
      <c r="H149" s="266"/>
      <c r="I149" s="252" t="s">
        <v>197</v>
      </c>
      <c r="J149" s="258"/>
    </row>
    <row r="150" spans="1:10" ht="12" customHeight="1">
      <c r="A150" s="11">
        <v>150</v>
      </c>
      <c r="B150" s="37" t="s">
        <v>9</v>
      </c>
      <c r="C150" s="37"/>
      <c r="D150" s="59" t="s">
        <v>86</v>
      </c>
      <c r="E150" s="21"/>
      <c r="F150" s="26"/>
      <c r="G150" s="60"/>
      <c r="H150" s="60"/>
      <c r="I150" s="77" t="s">
        <v>194</v>
      </c>
      <c r="J150" s="23" t="s">
        <v>193</v>
      </c>
    </row>
    <row r="151" spans="1:10" ht="12" customHeight="1">
      <c r="A151" s="11">
        <v>151</v>
      </c>
      <c r="B151" s="218" t="s">
        <v>168</v>
      </c>
      <c r="C151" s="218"/>
      <c r="D151" s="59" t="s">
        <v>71</v>
      </c>
      <c r="E151" s="33"/>
      <c r="F151" s="33"/>
      <c r="G151" s="33"/>
      <c r="I151" s="205">
        <f>H57</f>
        <v>0.9820293563595635</v>
      </c>
      <c r="J151" s="14">
        <f>H64</f>
        <v>9.280047263568939</v>
      </c>
    </row>
    <row r="152" spans="1:10" ht="12" customHeight="1">
      <c r="A152" s="11">
        <v>152</v>
      </c>
      <c r="D152" s="21"/>
      <c r="E152" s="21"/>
      <c r="F152" s="33"/>
      <c r="G152" s="61"/>
      <c r="H152" s="22"/>
      <c r="I152" s="21"/>
      <c r="J152" s="21"/>
    </row>
    <row r="153" spans="1:10" ht="12" customHeight="1">
      <c r="A153" s="11">
        <v>153</v>
      </c>
      <c r="B153" s="237"/>
      <c r="C153" s="237"/>
      <c r="D153" s="216" t="s">
        <v>75</v>
      </c>
      <c r="E153" s="216" t="s">
        <v>76</v>
      </c>
      <c r="F153" s="153" t="s">
        <v>121</v>
      </c>
      <c r="G153" s="116" t="s">
        <v>19</v>
      </c>
      <c r="H153" s="153" t="s">
        <v>20</v>
      </c>
      <c r="I153" s="21"/>
      <c r="J153" s="22" t="s">
        <v>14</v>
      </c>
    </row>
    <row r="154" spans="1:10" ht="12" customHeight="1">
      <c r="A154" s="11">
        <v>154</v>
      </c>
      <c r="B154" s="48" t="s">
        <v>224</v>
      </c>
      <c r="C154" s="48"/>
      <c r="D154" s="62">
        <f>D56*D70*COS((E56-E70)/180*PI())</f>
        <v>-92.27799653467152</v>
      </c>
      <c r="E154" s="62">
        <f>D52*D70*COS((E52-E70)/180*PI())</f>
        <v>-226.64329179248938</v>
      </c>
      <c r="F154" s="154">
        <f>D154+E154</f>
        <v>-318.9212883271609</v>
      </c>
      <c r="G154" s="100">
        <f>ROUND((ABS(F154)-J154),2)</f>
        <v>-42.29</v>
      </c>
      <c r="H154" s="155">
        <f>G154/J154*100</f>
        <v>-11.707967967958037</v>
      </c>
      <c r="J154" s="13">
        <f>G89</f>
        <v>361.20700121265975</v>
      </c>
    </row>
    <row r="155" spans="1:10" ht="12" customHeight="1">
      <c r="A155" s="11">
        <v>155</v>
      </c>
      <c r="C155" s="45" t="s">
        <v>78</v>
      </c>
      <c r="D155" s="21"/>
      <c r="E155" s="63"/>
      <c r="F155" s="155"/>
      <c r="G155" s="100"/>
      <c r="H155" s="155"/>
      <c r="I155" s="21"/>
      <c r="J155" s="66"/>
    </row>
    <row r="156" spans="1:10" ht="12" customHeight="1">
      <c r="A156" s="11">
        <v>156</v>
      </c>
      <c r="B156" s="45"/>
      <c r="C156" s="45"/>
      <c r="D156" s="21"/>
      <c r="E156" s="63"/>
      <c r="F156" s="155"/>
      <c r="G156" s="100"/>
      <c r="H156" s="155"/>
      <c r="I156" s="21"/>
      <c r="J156" s="66"/>
    </row>
    <row r="157" spans="1:10" ht="12" customHeight="1">
      <c r="A157" s="11">
        <v>157</v>
      </c>
      <c r="B157" s="48" t="s">
        <v>225</v>
      </c>
      <c r="C157" s="48"/>
      <c r="D157" s="50">
        <f>D57*D71*COS((E57-E71)/180*PI())</f>
        <v>-134.5637094201704</v>
      </c>
      <c r="E157" s="50">
        <f>D50*D71*COS((E50-E71)/180*PI())</f>
        <v>-252.13351552178673</v>
      </c>
      <c r="F157" s="154">
        <f>(D157+E157)</f>
        <v>-386.69722494195713</v>
      </c>
      <c r="G157" s="100">
        <f>ROUND((ABS(F157)-J154),2)</f>
        <v>25.49</v>
      </c>
      <c r="H157" s="155">
        <f>G157/J154*100</f>
        <v>7.0568953299420745</v>
      </c>
      <c r="I157" s="21"/>
      <c r="J157" s="66"/>
    </row>
    <row r="158" spans="1:10" ht="12" customHeight="1">
      <c r="A158" s="11">
        <v>158</v>
      </c>
      <c r="C158" s="41" t="s">
        <v>79</v>
      </c>
      <c r="D158" s="21"/>
      <c r="E158" s="33"/>
      <c r="F158" s="155"/>
      <c r="G158" s="100"/>
      <c r="H158" s="155"/>
      <c r="I158" s="21"/>
      <c r="J158" s="66"/>
    </row>
    <row r="159" spans="1:10" ht="12" customHeight="1">
      <c r="A159" s="11">
        <v>159</v>
      </c>
      <c r="B159" s="41"/>
      <c r="C159" s="41"/>
      <c r="D159" s="21"/>
      <c r="E159" s="33"/>
      <c r="F159" s="155"/>
      <c r="G159" s="100"/>
      <c r="H159" s="155"/>
      <c r="I159" s="21"/>
      <c r="J159" s="66"/>
    </row>
    <row r="160" spans="1:10" ht="12" customHeight="1">
      <c r="A160" s="11">
        <v>160</v>
      </c>
      <c r="B160" s="48" t="s">
        <v>226</v>
      </c>
      <c r="C160" s="48"/>
      <c r="D160" s="50">
        <f>D58*D72*COS((E58-E72)/180*PI())</f>
        <v>-109.0734856908731</v>
      </c>
      <c r="E160" s="50">
        <f>D51*D72*COS((E51-E72)/180*PI())</f>
        <v>-268.9290046779882</v>
      </c>
      <c r="F160" s="154">
        <f>(D160+E160)</f>
        <v>-378.0024903688613</v>
      </c>
      <c r="G160" s="100">
        <f>ROUND((ABS(F160)-J154),2)</f>
        <v>16.8</v>
      </c>
      <c r="H160" s="155">
        <f>G160/J154*100</f>
        <v>4.651072638015961</v>
      </c>
      <c r="I160" s="21"/>
      <c r="J160" s="66"/>
    </row>
    <row r="161" spans="1:10" ht="12" customHeight="1">
      <c r="A161" s="11">
        <v>161</v>
      </c>
      <c r="C161" s="41" t="s">
        <v>80</v>
      </c>
      <c r="D161" s="21"/>
      <c r="E161" s="33"/>
      <c r="F161" s="33"/>
      <c r="G161" s="51"/>
      <c r="H161" s="50"/>
      <c r="I161" s="51"/>
      <c r="J161" s="51"/>
    </row>
    <row r="162" spans="1:10" ht="12" customHeight="1">
      <c r="A162" s="11">
        <v>162</v>
      </c>
      <c r="B162" s="41"/>
      <c r="C162" s="41"/>
      <c r="D162" s="21"/>
      <c r="E162" s="33"/>
      <c r="F162" s="33"/>
      <c r="G162" s="51"/>
      <c r="H162" s="50"/>
      <c r="I162" s="51"/>
      <c r="J162" s="51"/>
    </row>
    <row r="163" spans="1:10" ht="12" customHeight="1">
      <c r="A163" s="11">
        <v>163</v>
      </c>
      <c r="B163" s="190" t="s">
        <v>10</v>
      </c>
      <c r="C163" s="190"/>
      <c r="D163" s="97" t="s">
        <v>86</v>
      </c>
      <c r="E163" s="69"/>
      <c r="F163" s="73"/>
      <c r="G163" s="98"/>
      <c r="H163" s="98"/>
      <c r="I163" s="21"/>
      <c r="J163" s="21"/>
    </row>
    <row r="164" spans="1:10" ht="12" customHeight="1">
      <c r="A164" s="11">
        <v>164</v>
      </c>
      <c r="B164" s="218" t="s">
        <v>168</v>
      </c>
      <c r="C164" s="218"/>
      <c r="D164" s="59" t="s">
        <v>71</v>
      </c>
      <c r="E164" s="33"/>
      <c r="F164" s="33"/>
      <c r="G164" s="33"/>
      <c r="H164" s="23"/>
      <c r="I164" s="21"/>
      <c r="J164" s="21"/>
    </row>
    <row r="165" spans="1:10" ht="12" customHeight="1">
      <c r="A165" s="11">
        <v>165</v>
      </c>
      <c r="D165" s="21"/>
      <c r="E165" s="21"/>
      <c r="F165" s="33"/>
      <c r="G165" s="61"/>
      <c r="H165" s="23"/>
      <c r="I165" s="26"/>
      <c r="J165" s="22"/>
    </row>
    <row r="166" spans="1:10" ht="12" customHeight="1">
      <c r="A166" s="11">
        <v>166</v>
      </c>
      <c r="B166" s="230"/>
      <c r="C166" s="230"/>
      <c r="D166" s="216" t="s">
        <v>213</v>
      </c>
      <c r="E166" s="216" t="s">
        <v>214</v>
      </c>
      <c r="F166" s="153" t="s">
        <v>215</v>
      </c>
      <c r="G166" s="116" t="s">
        <v>216</v>
      </c>
      <c r="H166" s="153" t="s">
        <v>21</v>
      </c>
      <c r="I166" s="23"/>
      <c r="J166" s="23" t="s">
        <v>212</v>
      </c>
    </row>
    <row r="167" spans="1:10" ht="12" customHeight="1">
      <c r="A167" s="11">
        <v>167</v>
      </c>
      <c r="B167" s="48" t="s">
        <v>227</v>
      </c>
      <c r="C167" s="48"/>
      <c r="D167" s="62">
        <f>D81*D70*COS((E81-E70)/180*PI())*SQRT(3)</f>
        <v>-24.299113247272707</v>
      </c>
      <c r="E167" s="62">
        <f>D78*D70*COS((E78-E70)/180*PI())*SQRT(3)</f>
        <v>-208.42840491326123</v>
      </c>
      <c r="F167" s="154">
        <f>D167+E167</f>
        <v>-232.72751816053395</v>
      </c>
      <c r="G167" s="100">
        <f>ROUND((ABS(F167)-J167),2)</f>
        <v>-5.02</v>
      </c>
      <c r="H167" s="155">
        <f>G167/J167*100</f>
        <v>-2.1114844837112687</v>
      </c>
      <c r="J167" s="13">
        <f>G95</f>
        <v>237.74742550684314</v>
      </c>
    </row>
    <row r="168" spans="1:10" ht="12" customHeight="1">
      <c r="A168" s="11">
        <v>168</v>
      </c>
      <c r="C168" s="45" t="s">
        <v>78</v>
      </c>
      <c r="D168" s="63"/>
      <c r="E168" s="33"/>
      <c r="F168" s="156"/>
      <c r="G168" s="100"/>
      <c r="H168" s="155"/>
      <c r="I168" s="21"/>
      <c r="J168" s="66"/>
    </row>
    <row r="169" spans="1:10" ht="12" customHeight="1">
      <c r="A169" s="11">
        <v>169</v>
      </c>
      <c r="B169" s="45"/>
      <c r="C169" s="45"/>
      <c r="D169" s="63"/>
      <c r="E169" s="33"/>
      <c r="F169" s="156"/>
      <c r="G169" s="100"/>
      <c r="H169" s="155"/>
      <c r="I169" s="21"/>
      <c r="J169" s="66"/>
    </row>
    <row r="170" spans="1:10" ht="12" customHeight="1">
      <c r="A170" s="11">
        <v>170</v>
      </c>
      <c r="B170" s="48" t="s">
        <v>228</v>
      </c>
      <c r="C170" s="48"/>
      <c r="D170" s="62">
        <f>D82*D71*COS((E82-E71)/180*PI())*SQRT(3)</f>
        <v>9.811434655549657</v>
      </c>
      <c r="E170" s="62">
        <f>D76*D71*COS((E76-E71)/180*PI())*SQRT(3)</f>
        <v>-213.44831225957049</v>
      </c>
      <c r="F170" s="154">
        <f>D170+E170</f>
        <v>-203.63687760402084</v>
      </c>
      <c r="G170" s="100">
        <f>ROUND((ABS(F170)-J167),2)</f>
        <v>-34.11</v>
      </c>
      <c r="H170" s="155">
        <f>G170/J167*100</f>
        <v>-14.347158513822983</v>
      </c>
      <c r="I170" s="21"/>
      <c r="J170" s="66"/>
    </row>
    <row r="171" spans="1:10" ht="12" customHeight="1">
      <c r="A171" s="11">
        <v>171</v>
      </c>
      <c r="C171" s="41" t="s">
        <v>79</v>
      </c>
      <c r="D171" s="59"/>
      <c r="E171" s="33"/>
      <c r="F171" s="156"/>
      <c r="G171" s="100"/>
      <c r="H171" s="155"/>
      <c r="I171" s="21"/>
      <c r="J171" s="66"/>
    </row>
    <row r="172" spans="1:10" ht="12" customHeight="1">
      <c r="A172" s="11">
        <v>172</v>
      </c>
      <c r="B172" s="41"/>
      <c r="C172" s="41"/>
      <c r="D172" s="59"/>
      <c r="E172" s="33"/>
      <c r="F172" s="156"/>
      <c r="G172" s="100"/>
      <c r="H172" s="155"/>
      <c r="I172" s="21"/>
      <c r="J172" s="66"/>
    </row>
    <row r="173" spans="1:10" ht="12" customHeight="1">
      <c r="A173" s="11">
        <v>173</v>
      </c>
      <c r="B173" s="48" t="s">
        <v>229</v>
      </c>
      <c r="C173" s="48"/>
      <c r="D173" s="62">
        <f>D80*D72*COS((E80-E72)/180*PI())*SQRT(3)</f>
        <v>-29.319020593581826</v>
      </c>
      <c r="E173" s="62">
        <f>D77*D72*COS((E77-E72)/180*PI())*SQRT(3)</f>
        <v>-247.55886016239296</v>
      </c>
      <c r="F173" s="154">
        <f>D173+E173</f>
        <v>-276.8778807559748</v>
      </c>
      <c r="G173" s="100">
        <f>ROUND((ABS(F173)-J167),2)</f>
        <v>39.13</v>
      </c>
      <c r="H173" s="155">
        <f>G173/J167*100</f>
        <v>16.458642997534252</v>
      </c>
      <c r="I173" s="21"/>
      <c r="J173" s="66"/>
    </row>
    <row r="174" spans="1:10" ht="12" customHeight="1">
      <c r="A174" s="11">
        <v>174</v>
      </c>
      <c r="C174" s="41" t="s">
        <v>80</v>
      </c>
      <c r="D174" s="59"/>
      <c r="E174" s="33"/>
      <c r="F174" s="33"/>
      <c r="G174" s="21"/>
      <c r="H174" s="22"/>
      <c r="I174" s="22"/>
      <c r="J174" s="60"/>
    </row>
  </sheetData>
  <sheetProtection password="C407" sheet="1" objects="1" scenarios="1"/>
  <conditionalFormatting sqref="J155:J160">
    <cfRule type="cellIs" priority="1" dxfId="0" operator="lessThan" stopIfTrue="1">
      <formula>0</formula>
    </cfRule>
  </conditionalFormatting>
  <conditionalFormatting sqref="G167:H173 D154:E160 G154:H160 D167:E173 H45:H46 H40:H41 D40:D41 D45:D46">
    <cfRule type="cellIs" priority="2" dxfId="1" operator="lessThanOrEqual" stopIfTrue="1">
      <formula>0</formula>
    </cfRule>
  </conditionalFormatting>
  <conditionalFormatting sqref="I64 I57">
    <cfRule type="cellIs" priority="3" dxfId="1" operator="lessThan" stopIfTrue="1">
      <formula>0</formula>
    </cfRule>
  </conditionalFormatting>
  <printOptions gridLines="1" horizontalCentered="1"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&amp;L&amp;D - &amp;T&amp;C&amp;F&amp;RBeispiel.............Seite &amp;P / &amp;N</oddHeader>
    <oddFooter>&amp;L&amp;8Ausgabe: 10-2006 / 02
Blattschutz:160539&amp;C&amp;8(für sinusförmige Größen und stationären Netzzustand)&amp;R&amp;8Verfasser: Helmut Karger
e-mail: heka@vr-web.de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Karger</dc:creator>
  <cp:keywords/>
  <dc:description/>
  <cp:lastModifiedBy>Helmut Karger</cp:lastModifiedBy>
  <cp:lastPrinted>2008-05-09T13:22:19Z</cp:lastPrinted>
  <dcterms:created xsi:type="dcterms:W3CDTF">2003-02-05T06:20:41Z</dcterms:created>
  <dcterms:modified xsi:type="dcterms:W3CDTF">2008-05-09T13:22:45Z</dcterms:modified>
  <cp:category/>
  <cp:version/>
  <cp:contentType/>
  <cp:contentStatus/>
</cp:coreProperties>
</file>