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570" windowHeight="3645" activeTab="0"/>
  </bookViews>
  <sheets>
    <sheet name="E28-FAL" sheetId="1" r:id="rId1"/>
  </sheets>
  <definedNames>
    <definedName name="_xlnm.Print_Area" localSheetId="0">'E28-FAL'!$A$1:$M$89</definedName>
  </definedNames>
  <calcPr fullCalcOnLoad="1"/>
</workbook>
</file>

<file path=xl/sharedStrings.xml><?xml version="1.0" encoding="utf-8"?>
<sst xmlns="http://schemas.openxmlformats.org/spreadsheetml/2006/main" count="212" uniqueCount="144">
  <si>
    <t>Betrag</t>
  </si>
  <si>
    <t>Re</t>
  </si>
  <si>
    <t>Im</t>
  </si>
  <si>
    <t>Winkel</t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</si>
  <si>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</si>
  <si>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Last Y</t>
    </r>
    <r>
      <rPr>
        <sz val="8"/>
        <rFont val="Arial"/>
        <family val="2"/>
      </rPr>
      <t xml:space="preserve"> [kV]</t>
    </r>
  </si>
  <si>
    <r>
      <t>P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[kW]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</si>
  <si>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[A] </t>
    </r>
  </si>
  <si>
    <r>
      <t>U</t>
    </r>
    <r>
      <rPr>
        <vertAlign val="subscript"/>
        <sz val="8"/>
        <rFont val="Arial"/>
        <family val="2"/>
      </rPr>
      <t xml:space="preserve">Last </t>
    </r>
    <r>
      <rPr>
        <vertAlign val="subscript"/>
        <sz val="8"/>
        <rFont val="Symbol"/>
        <family val="1"/>
      </rPr>
      <t>D</t>
    </r>
    <r>
      <rPr>
        <sz val="8"/>
        <rFont val="Arial"/>
        <family val="2"/>
      </rPr>
      <t xml:space="preserve"> [kV]</t>
    </r>
  </si>
  <si>
    <r>
      <t>U</t>
    </r>
    <r>
      <rPr>
        <vertAlign val="subscript"/>
        <sz val="7"/>
        <rFont val="Arial"/>
        <family val="2"/>
      </rPr>
      <t xml:space="preserve">TY </t>
    </r>
    <r>
      <rPr>
        <sz val="7"/>
        <rFont val="Arial"/>
        <family val="2"/>
      </rPr>
      <t xml:space="preserve"> [V]</t>
    </r>
  </si>
  <si>
    <r>
      <t>Z</t>
    </r>
    <r>
      <rPr>
        <vertAlign val="subscript"/>
        <sz val="7"/>
        <rFont val="Arial"/>
        <family val="2"/>
      </rPr>
      <t>Ltg</t>
    </r>
    <r>
      <rPr>
        <sz val="7"/>
        <rFont val="Arial"/>
        <family val="2"/>
      </rPr>
      <t xml:space="preserve">  [W]</t>
    </r>
  </si>
  <si>
    <t>Spannugsfall</t>
  </si>
  <si>
    <r>
      <t>X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] </t>
    </r>
  </si>
  <si>
    <t>Strang</t>
  </si>
  <si>
    <r>
      <t>R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/ X</t>
    </r>
    <r>
      <rPr>
        <vertAlign val="subscript"/>
        <sz val="8"/>
        <rFont val="Arial"/>
        <family val="2"/>
      </rPr>
      <t>Ltg</t>
    </r>
  </si>
  <si>
    <t>nach Näherungsformel</t>
  </si>
  <si>
    <r>
      <t>L'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[mH/km] </t>
    </r>
  </si>
  <si>
    <r>
      <t>X</t>
    </r>
    <r>
      <rPr>
        <vertAlign val="subscript"/>
        <sz val="8"/>
        <rFont val="Arial"/>
        <family val="2"/>
      </rPr>
      <t xml:space="preserve">Ltg </t>
    </r>
    <r>
      <rPr>
        <sz val="8"/>
        <rFont val="Symbol"/>
        <family val="1"/>
      </rPr>
      <t>[W]</t>
    </r>
  </si>
  <si>
    <r>
      <t>R</t>
    </r>
    <r>
      <rPr>
        <vertAlign val="subscript"/>
        <sz val="8"/>
        <rFont val="Arial"/>
        <family val="2"/>
      </rPr>
      <t xml:space="preserve">Ltg </t>
    </r>
    <r>
      <rPr>
        <sz val="8"/>
        <rFont val="Symbol"/>
        <family val="1"/>
      </rPr>
      <t>[W]</t>
    </r>
  </si>
  <si>
    <r>
      <t>jX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/km]</t>
    </r>
  </si>
  <si>
    <r>
      <t>U</t>
    </r>
    <r>
      <rPr>
        <vertAlign val="subscript"/>
        <sz val="8"/>
        <rFont val="Arial"/>
        <family val="2"/>
      </rPr>
      <t xml:space="preserve">TY </t>
    </r>
    <r>
      <rPr>
        <sz val="8"/>
        <rFont val="Arial"/>
        <family val="2"/>
      </rPr>
      <t xml:space="preserve"> [V]</t>
    </r>
  </si>
  <si>
    <r>
      <t>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</si>
  <si>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Drehstromleitung</t>
  </si>
  <si>
    <r>
      <t>R' [</t>
    </r>
    <r>
      <rPr>
        <sz val="8"/>
        <rFont val="Symbol"/>
        <family val="1"/>
      </rPr>
      <t>W</t>
    </r>
    <r>
      <rPr>
        <sz val="8"/>
        <rFont val="Arial"/>
        <family val="2"/>
      </rPr>
      <t>/km]</t>
    </r>
  </si>
  <si>
    <t>L' [mH/km]</t>
  </si>
  <si>
    <t>C' [nF/km]</t>
  </si>
  <si>
    <t>G' [nS/km]</t>
  </si>
  <si>
    <r>
      <t>[M</t>
    </r>
    <r>
      <rPr>
        <sz val="8"/>
        <rFont val="Symbol"/>
        <family val="1"/>
      </rPr>
      <t>W</t>
    </r>
    <r>
      <rPr>
        <sz val="8"/>
        <rFont val="Arial"/>
        <family val="2"/>
      </rPr>
      <t>/km]</t>
    </r>
  </si>
  <si>
    <r>
      <t>l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[km]</t>
    </r>
  </si>
  <si>
    <r>
      <t xml:space="preserve"> 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</si>
  <si>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Umrechnungen</t>
  </si>
  <si>
    <t>Summenwerte der Leitung</t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</si>
  <si>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[A]</t>
    </r>
  </si>
  <si>
    <t>G' [nS]</t>
  </si>
  <si>
    <r>
      <t>Abltg [k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</si>
  <si>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C [nF]</t>
  </si>
  <si>
    <t>L [mH]</t>
  </si>
  <si>
    <r>
      <t>j X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/km]</t>
    </r>
  </si>
  <si>
    <t>P [MW]</t>
  </si>
  <si>
    <t>S [MVA]</t>
  </si>
  <si>
    <t>Leitungsanfang</t>
  </si>
  <si>
    <t>Leitungsende</t>
  </si>
  <si>
    <r>
      <t>U</t>
    </r>
    <r>
      <rPr>
        <vertAlign val="subscript"/>
        <sz val="8"/>
        <rFont val="Arial"/>
        <family val="2"/>
      </rPr>
      <t>TY</t>
    </r>
    <r>
      <rPr>
        <sz val="8"/>
        <rFont val="Arial"/>
        <family val="2"/>
      </rPr>
      <t xml:space="preserve"> [V] </t>
    </r>
  </si>
  <si>
    <r>
      <t>U</t>
    </r>
    <r>
      <rPr>
        <vertAlign val="subscript"/>
        <sz val="8"/>
        <rFont val="Arial"/>
        <family val="2"/>
      </rPr>
      <t>Last Y</t>
    </r>
    <r>
      <rPr>
        <sz val="8"/>
        <rFont val="Arial"/>
        <family val="2"/>
      </rPr>
      <t xml:space="preserve"> [V]</t>
    </r>
  </si>
  <si>
    <t>Winkel [°]</t>
  </si>
  <si>
    <r>
      <t>U</t>
    </r>
    <r>
      <rPr>
        <vertAlign val="subscript"/>
        <sz val="8"/>
        <rFont val="Arial"/>
        <family val="2"/>
      </rPr>
      <t>T</t>
    </r>
    <r>
      <rPr>
        <vertAlign val="subscript"/>
        <sz val="8"/>
        <rFont val="Symbol"/>
        <family val="1"/>
      </rPr>
      <t>D</t>
    </r>
    <r>
      <rPr>
        <sz val="8"/>
        <rFont val="Arial"/>
        <family val="2"/>
      </rPr>
      <t xml:space="preserve"> [V] </t>
    </r>
  </si>
  <si>
    <r>
      <t>U</t>
    </r>
    <r>
      <rPr>
        <vertAlign val="subscript"/>
        <sz val="8"/>
        <rFont val="Arial"/>
        <family val="2"/>
      </rPr>
      <t xml:space="preserve">Last </t>
    </r>
    <r>
      <rPr>
        <vertAlign val="subscript"/>
        <sz val="8"/>
        <rFont val="Symbol"/>
        <family val="1"/>
      </rPr>
      <t>D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</si>
  <si>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[A] 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</si>
  <si>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</si>
  <si>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</si>
  <si>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r>
      <t>sin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</si>
  <si>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Ltg Y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</si>
  <si>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 xml:space="preserve">TY </t>
    </r>
    <r>
      <rPr>
        <sz val="8"/>
        <rFont val="Arial"/>
        <family val="2"/>
      </rPr>
      <t>= U</t>
    </r>
    <r>
      <rPr>
        <vertAlign val="subscript"/>
        <sz val="8"/>
        <rFont val="Arial"/>
        <family val="2"/>
      </rPr>
      <t>Last Y</t>
    </r>
    <r>
      <rPr>
        <sz val="8"/>
        <rFont val="Arial"/>
        <family val="2"/>
      </rPr>
      <t xml:space="preserve"> + </t>
    </r>
    <r>
      <rPr>
        <sz val="8"/>
        <rFont val="Symbol"/>
        <family val="1"/>
      </rPr>
      <t>D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Ltg Y</t>
    </r>
    <r>
      <rPr>
        <sz val="8"/>
        <rFont val="Arial"/>
        <family val="2"/>
      </rPr>
      <t xml:space="preserve"> [V]</t>
    </r>
  </si>
  <si>
    <t>#</t>
  </si>
  <si>
    <t>Übertragungswinkel</t>
  </si>
  <si>
    <r>
      <t xml:space="preserve">b </t>
    </r>
    <r>
      <rPr>
        <sz val="8"/>
        <rFont val="Arial"/>
        <family val="2"/>
      </rPr>
      <t>[km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</si>
  <si>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>b</t>
    </r>
    <r>
      <rPr>
        <b/>
        <sz val="8"/>
        <rFont val="Arial"/>
        <family val="2"/>
      </rPr>
      <t xml:space="preserve">l </t>
    </r>
    <r>
      <rPr>
        <sz val="8"/>
        <rFont val="Arial"/>
        <family val="2"/>
      </rPr>
      <t>[rad]</t>
    </r>
  </si>
  <si>
    <r>
      <t>b</t>
    </r>
    <r>
      <rPr>
        <b/>
        <sz val="8"/>
        <rFont val="Arial"/>
        <family val="2"/>
      </rPr>
      <t xml:space="preserve">l </t>
    </r>
    <r>
      <rPr>
        <sz val="8"/>
        <rFont val="Arial"/>
        <family val="2"/>
      </rPr>
      <t>[°]</t>
    </r>
  </si>
  <si>
    <t xml:space="preserve">R' G' </t>
  </si>
  <si>
    <r>
      <t xml:space="preserve">w </t>
    </r>
    <r>
      <rPr>
        <sz val="8"/>
        <rFont val="Arial"/>
        <family val="2"/>
      </rPr>
      <t xml:space="preserve">L' </t>
    </r>
  </si>
  <si>
    <r>
      <t xml:space="preserve">w </t>
    </r>
    <r>
      <rPr>
        <sz val="8"/>
        <rFont val="Arial"/>
        <family val="2"/>
      </rPr>
      <t xml:space="preserve">C' </t>
    </r>
  </si>
  <si>
    <r>
      <t>w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L' C'</t>
    </r>
  </si>
  <si>
    <r>
      <t xml:space="preserve">R'² + </t>
    </r>
    <r>
      <rPr>
        <sz val="8"/>
        <rFont val="Symbol"/>
        <family val="1"/>
      </rPr>
      <t>w</t>
    </r>
    <r>
      <rPr>
        <sz val="8"/>
        <rFont val="Arial"/>
        <family val="2"/>
      </rPr>
      <t>² L'²</t>
    </r>
  </si>
  <si>
    <r>
      <t xml:space="preserve">G'² + </t>
    </r>
    <r>
      <rPr>
        <sz val="8"/>
        <rFont val="Symbol"/>
        <family val="1"/>
      </rPr>
      <t>w</t>
    </r>
    <r>
      <rPr>
        <sz val="8"/>
        <rFont val="Arial"/>
        <family val="2"/>
      </rPr>
      <t>² C'²</t>
    </r>
  </si>
  <si>
    <r>
      <t>[km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]</t>
    </r>
  </si>
  <si>
    <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>/km]</t>
    </r>
  </si>
  <si>
    <t>[nS/km]</t>
  </si>
  <si>
    <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>² km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]</t>
    </r>
  </si>
  <si>
    <r>
      <t>[S² km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]</t>
    </r>
  </si>
  <si>
    <t>Übertragungsdämpfung</t>
  </si>
  <si>
    <r>
      <t xml:space="preserve">a </t>
    </r>
    <r>
      <rPr>
        <sz val="8"/>
        <rFont val="Arial"/>
        <family val="2"/>
      </rPr>
      <t>[km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</si>
  <si>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>a</t>
    </r>
    <r>
      <rPr>
        <b/>
        <sz val="8"/>
        <rFont val="Arial"/>
        <family val="2"/>
      </rPr>
      <t>l</t>
    </r>
  </si>
  <si>
    <r>
      <t xml:space="preserve">R'G'+ </t>
    </r>
    <r>
      <rPr>
        <sz val="8"/>
        <rFont val="Symbol"/>
        <family val="1"/>
      </rPr>
      <t>w</t>
    </r>
    <r>
      <rPr>
        <sz val="8"/>
        <rFont val="Arial"/>
        <family val="2"/>
      </rPr>
      <t>² L'C'</t>
    </r>
  </si>
  <si>
    <r>
      <t xml:space="preserve">R' 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C'</t>
    </r>
  </si>
  <si>
    <r>
      <t xml:space="preserve">G' </t>
    </r>
    <r>
      <rPr>
        <sz val="8"/>
        <rFont val="Symbol"/>
        <family val="1"/>
      </rPr>
      <t xml:space="preserve">w </t>
    </r>
    <r>
      <rPr>
        <sz val="8"/>
        <rFont val="Arial"/>
        <family val="2"/>
      </rPr>
      <t xml:space="preserve">L' </t>
    </r>
  </si>
  <si>
    <r>
      <t xml:space="preserve">w </t>
    </r>
    <r>
      <rPr>
        <sz val="8"/>
        <rFont val="Arial"/>
        <family val="2"/>
      </rPr>
      <t>(R'C'+G'L')</t>
    </r>
  </si>
  <si>
    <r>
      <t>w</t>
    </r>
    <r>
      <rPr>
        <sz val="8"/>
        <rFont val="Arial"/>
        <family val="2"/>
      </rPr>
      <t xml:space="preserve"> L' / R'</t>
    </r>
  </si>
  <si>
    <r>
      <t>w</t>
    </r>
    <r>
      <rPr>
        <sz val="8"/>
        <rFont val="Arial"/>
        <family val="2"/>
      </rPr>
      <t xml:space="preserve"> C' / G'</t>
    </r>
  </si>
  <si>
    <t>tan</t>
  </si>
  <si>
    <t>[°]</t>
  </si>
  <si>
    <t>Wellenwiderstand</t>
  </si>
  <si>
    <r>
      <t>Z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</si>
  <si>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 xml:space="preserve">j </t>
    </r>
    <r>
      <rPr>
        <sz val="8"/>
        <rFont val="Symbol"/>
        <family val="1"/>
      </rPr>
      <t>[°]</t>
    </r>
  </si>
  <si>
    <r>
      <t>sinh</t>
    </r>
    <r>
      <rPr>
        <b/>
        <sz val="8"/>
        <rFont val="Symbol"/>
        <family val="1"/>
      </rPr>
      <t xml:space="preserve"> a</t>
    </r>
    <r>
      <rPr>
        <b/>
        <sz val="8"/>
        <rFont val="Arial"/>
        <family val="2"/>
      </rPr>
      <t>l</t>
    </r>
  </si>
  <si>
    <r>
      <t xml:space="preserve">sin </t>
    </r>
    <r>
      <rPr>
        <b/>
        <sz val="8"/>
        <rFont val="Symbol"/>
        <family val="1"/>
      </rPr>
      <t>b</t>
    </r>
    <r>
      <rPr>
        <b/>
        <sz val="8"/>
        <rFont val="Arial"/>
        <family val="2"/>
      </rPr>
      <t>l</t>
    </r>
  </si>
  <si>
    <r>
      <t xml:space="preserve">sinh </t>
    </r>
    <r>
      <rPr>
        <b/>
        <sz val="8"/>
        <rFont val="Symbol"/>
        <family val="1"/>
      </rPr>
      <t>g</t>
    </r>
    <r>
      <rPr>
        <b/>
        <sz val="8"/>
        <rFont val="Arial"/>
        <family val="2"/>
      </rPr>
      <t>l</t>
    </r>
  </si>
  <si>
    <r>
      <t>cosh</t>
    </r>
    <r>
      <rPr>
        <b/>
        <sz val="8"/>
        <rFont val="Symbol"/>
        <family val="1"/>
      </rPr>
      <t xml:space="preserve"> a</t>
    </r>
    <r>
      <rPr>
        <b/>
        <sz val="8"/>
        <rFont val="Arial"/>
        <family val="2"/>
      </rPr>
      <t>l</t>
    </r>
  </si>
  <si>
    <r>
      <t xml:space="preserve">cos </t>
    </r>
    <r>
      <rPr>
        <b/>
        <sz val="8"/>
        <rFont val="Symbol"/>
        <family val="1"/>
      </rPr>
      <t>b</t>
    </r>
    <r>
      <rPr>
        <b/>
        <sz val="8"/>
        <rFont val="Arial"/>
        <family val="2"/>
      </rPr>
      <t>l</t>
    </r>
  </si>
  <si>
    <r>
      <t xml:space="preserve">cosh </t>
    </r>
    <r>
      <rPr>
        <b/>
        <sz val="8"/>
        <rFont val="Symbol"/>
        <family val="1"/>
      </rPr>
      <t>g</t>
    </r>
    <r>
      <rPr>
        <b/>
        <sz val="8"/>
        <rFont val="Arial"/>
        <family val="2"/>
      </rPr>
      <t>l</t>
    </r>
  </si>
  <si>
    <r>
      <t>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 [A]</t>
    </r>
  </si>
  <si>
    <r>
      <t>Z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</si>
  <si>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U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 xml:space="preserve">0 </t>
    </r>
    <r>
      <rPr>
        <sz val="8"/>
        <rFont val="Arial"/>
        <family val="2"/>
      </rPr>
      <t>[A]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</si>
  <si>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* Z</t>
    </r>
    <r>
      <rPr>
        <vertAlign val="subscript"/>
        <sz val="8"/>
        <rFont val="Arial"/>
        <family val="2"/>
      </rPr>
      <t xml:space="preserve">0 </t>
    </r>
    <r>
      <rPr>
        <sz val="8"/>
        <rFont val="Arial"/>
        <family val="2"/>
      </rPr>
      <t>[V]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</si>
  <si>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</si>
  <si>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Trafo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</si>
  <si>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Trafo</t>
    </r>
    <r>
      <rPr>
        <sz val="8"/>
        <rFont val="Arial"/>
        <family val="2"/>
      </rPr>
      <t xml:space="preserve"> [V]</t>
    </r>
  </si>
  <si>
    <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 </t>
    </r>
    <r>
      <rPr>
        <sz val="8"/>
        <rFont val="Symbol"/>
        <family val="1"/>
      </rPr>
      <t>j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j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[°]</t>
    </r>
  </si>
  <si>
    <r>
      <t>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Trafo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</si>
  <si>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*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[MVA]</t>
    </r>
  </si>
  <si>
    <t>Verluste auf der Leitung</t>
  </si>
  <si>
    <r>
      <t>U</t>
    </r>
    <r>
      <rPr>
        <vertAlign val="subscript"/>
        <sz val="8"/>
        <rFont val="Arial"/>
        <family val="2"/>
      </rPr>
      <t>Ltg</t>
    </r>
  </si>
  <si>
    <r>
      <t>D</t>
    </r>
    <r>
      <rPr>
        <u val="single"/>
        <sz val="8"/>
        <rFont val="Arial"/>
        <family val="2"/>
      </rPr>
      <t>U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</si>
  <si>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7"/>
        <rFont val="Arial"/>
        <family val="2"/>
      </rPr>
      <t>Ltg</t>
    </r>
  </si>
  <si>
    <r>
      <t>U''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[V]</t>
    </r>
  </si>
  <si>
    <r>
      <t>U'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[V]</t>
    </r>
  </si>
  <si>
    <t>Spannungsfall auf der Leitung</t>
  </si>
  <si>
    <t>mit Leitungsgleichung</t>
  </si>
  <si>
    <t>mit Näherungsformel</t>
  </si>
  <si>
    <r>
      <t>U''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- U'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[%]</t>
    </r>
  </si>
  <si>
    <r>
      <t>U''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Y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Y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Y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</si>
  <si>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- U'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[%]</t>
    </r>
  </si>
  <si>
    <r>
      <t>U'''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[V]</t>
    </r>
  </si>
  <si>
    <r>
      <t>I</t>
    </r>
    <r>
      <rPr>
        <i/>
        <vertAlign val="subscript"/>
        <sz val="8"/>
        <rFont val="Arial"/>
        <family val="2"/>
      </rPr>
      <t>Last</t>
    </r>
    <r>
      <rPr>
        <i/>
        <sz val="8"/>
        <rFont val="Arial"/>
        <family val="2"/>
      </rPr>
      <t xml:space="preserve"> * Z</t>
    </r>
    <r>
      <rPr>
        <i/>
        <vertAlign val="subscript"/>
        <sz val="8"/>
        <rFont val="Arial"/>
        <family val="2"/>
      </rPr>
      <t xml:space="preserve">0 * </t>
    </r>
    <r>
      <rPr>
        <i/>
        <sz val="8"/>
        <rFont val="Arial"/>
        <family val="2"/>
      </rPr>
      <t>sinh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[V]</t>
    </r>
  </si>
  <si>
    <r>
      <t>I</t>
    </r>
    <r>
      <rPr>
        <i/>
        <vertAlign val="subscript"/>
        <sz val="8"/>
        <rFont val="Arial"/>
        <family val="2"/>
      </rPr>
      <t>Last</t>
    </r>
    <r>
      <rPr>
        <i/>
        <sz val="8"/>
        <rFont val="Arial"/>
        <family val="2"/>
      </rPr>
      <t xml:space="preserve"> </t>
    </r>
    <r>
      <rPr>
        <i/>
        <vertAlign val="subscript"/>
        <sz val="8"/>
        <rFont val="Arial"/>
        <family val="2"/>
      </rPr>
      <t xml:space="preserve">* </t>
    </r>
    <r>
      <rPr>
        <i/>
        <sz val="8"/>
        <rFont val="Arial"/>
        <family val="2"/>
      </rPr>
      <t>cosh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[A]</t>
    </r>
  </si>
  <si>
    <r>
      <t>U</t>
    </r>
    <r>
      <rPr>
        <i/>
        <vertAlign val="subscript"/>
        <sz val="8"/>
        <rFont val="Arial"/>
        <family val="2"/>
      </rPr>
      <t>Last</t>
    </r>
    <r>
      <rPr>
        <i/>
        <sz val="8"/>
        <rFont val="Arial"/>
        <family val="2"/>
      </rPr>
      <t xml:space="preserve"> </t>
    </r>
    <r>
      <rPr>
        <i/>
        <vertAlign val="subscript"/>
        <sz val="8"/>
        <rFont val="Arial"/>
        <family val="2"/>
      </rPr>
      <t xml:space="preserve">* </t>
    </r>
    <r>
      <rPr>
        <i/>
        <sz val="8"/>
        <rFont val="Arial"/>
        <family val="2"/>
      </rPr>
      <t>cosh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[V]</t>
    </r>
  </si>
  <si>
    <r>
      <t>cosh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</si>
  <si>
    <r>
      <t>sinh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</si>
  <si>
    <r>
      <t>I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 xml:space="preserve"> / Z</t>
    </r>
    <r>
      <rPr>
        <i/>
        <vertAlign val="subscript"/>
        <sz val="8"/>
        <rFont val="Arial"/>
        <family val="2"/>
      </rPr>
      <t xml:space="preserve">0 * </t>
    </r>
    <r>
      <rPr>
        <i/>
        <sz val="8"/>
        <rFont val="Arial"/>
        <family val="2"/>
      </rPr>
      <t>sinh</t>
    </r>
    <r>
      <rPr>
        <i/>
        <sz val="8"/>
        <rFont val="Symbol"/>
        <family val="1"/>
      </rPr>
      <t>g</t>
    </r>
    <r>
      <rPr>
        <i/>
        <sz val="8"/>
        <rFont val="Arial"/>
        <family val="2"/>
      </rPr>
      <t>l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[A]</t>
    </r>
  </si>
  <si>
    <t>Leitungslänge [km]</t>
  </si>
  <si>
    <t>Leitungsdaten</t>
  </si>
  <si>
    <t>Q [Mvar]</t>
  </si>
  <si>
    <t>ind. = - 1</t>
  </si>
  <si>
    <t>kap. = + 1</t>
  </si>
  <si>
    <r>
      <t xml:space="preserve">Näherungsformel </t>
    </r>
    <r>
      <rPr>
        <i/>
        <sz val="8"/>
        <rFont val="Arial"/>
        <family val="2"/>
      </rPr>
      <t>(ohne R</t>
    </r>
    <r>
      <rPr>
        <i/>
        <vertAlign val="subscript"/>
        <sz val="8"/>
        <rFont val="Arial"/>
        <family val="2"/>
      </rPr>
      <t>a</t>
    </r>
    <r>
      <rPr>
        <i/>
        <sz val="8"/>
        <rFont val="Arial"/>
        <family val="2"/>
      </rPr>
      <t xml:space="preserve"> und C</t>
    </r>
    <r>
      <rPr>
        <i/>
        <vertAlign val="subscript"/>
        <sz val="8"/>
        <rFont val="Arial"/>
        <family val="2"/>
      </rPr>
      <t>b</t>
    </r>
    <r>
      <rPr>
        <i/>
        <sz val="8"/>
        <rFont val="Arial"/>
        <family val="2"/>
      </rPr>
      <t>)</t>
    </r>
  </si>
  <si>
    <t>Längsspannung</t>
  </si>
  <si>
    <t xml:space="preserve">Daten an der Last </t>
  </si>
  <si>
    <t>Art der Last</t>
  </si>
  <si>
    <t>Umrechnung</t>
  </si>
  <si>
    <t>A</t>
  </si>
  <si>
    <t>B</t>
  </si>
  <si>
    <r>
      <t>(A B)</t>
    </r>
    <r>
      <rPr>
        <vertAlign val="superscript"/>
        <sz val="8"/>
        <rFont val="Arial"/>
        <family val="2"/>
      </rPr>
      <t>1/2</t>
    </r>
  </si>
  <si>
    <r>
      <t>R'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/km] </t>
    </r>
  </si>
  <si>
    <r>
      <t>L'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[mH/km] </t>
    </r>
  </si>
  <si>
    <t>relativer Anteil [%]</t>
  </si>
  <si>
    <r>
      <t xml:space="preserve">Leitungsgleichungen </t>
    </r>
    <r>
      <rPr>
        <i/>
        <sz val="8"/>
        <rFont val="Arial"/>
        <family val="2"/>
      </rPr>
      <t>(Küpfmüller; Theoretische Elektrotechnik; 7. Auflage 1959)</t>
    </r>
  </si>
  <si>
    <t>Verluste auf der Leitung [kW]</t>
  </si>
  <si>
    <r>
      <t>R'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>[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/km] </t>
    </r>
  </si>
  <si>
    <r>
      <t>I Rcos</t>
    </r>
    <r>
      <rPr>
        <sz val="8"/>
        <rFont val="Symbol"/>
        <family val="1"/>
      </rPr>
      <t>j</t>
    </r>
  </si>
  <si>
    <r>
      <t>I Xsin</t>
    </r>
    <r>
      <rPr>
        <sz val="8"/>
        <rFont val="Symbol"/>
        <family val="1"/>
      </rPr>
      <t>j</t>
    </r>
  </si>
  <si>
    <t>Anteil an der Last [%]</t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</si>
  <si>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(Rcos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 + Xsin</t>
    </r>
    <r>
      <rPr>
        <sz val="8"/>
        <rFont val="Symbol"/>
        <family val="1"/>
      </rPr>
      <t>j</t>
    </r>
    <r>
      <rPr>
        <sz val="8"/>
        <rFont val="Arial"/>
        <family val="2"/>
      </rPr>
      <t>)</t>
    </r>
  </si>
  <si>
    <r>
      <t>U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 </t>
    </r>
    <r>
      <rPr>
        <i/>
        <u val="single"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cosh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 xml:space="preserve">l + </t>
    </r>
    <r>
      <rPr>
        <i/>
        <u val="single"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Z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sinh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>l</t>
    </r>
  </si>
  <si>
    <r>
      <t>I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 </t>
    </r>
    <r>
      <rPr>
        <i/>
        <u val="single"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cosh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>l + (</t>
    </r>
    <r>
      <rPr>
        <i/>
        <u val="single"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</t>
    </r>
    <r>
      <rPr>
        <i/>
        <u val="single"/>
        <sz val="10"/>
        <rFont val="Arial"/>
        <family val="2"/>
      </rPr>
      <t>Z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) sinh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>l</t>
    </r>
  </si>
  <si>
    <t>nach Leitungsgleichung (Seite 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</si>
</sst>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0"/>
    <numFmt numFmtId="174" formatCode="0.000000000"/>
    <numFmt numFmtId="175" formatCode="0.0"/>
    <numFmt numFmtId="176" formatCode="0.0000"/>
    <numFmt numFmtId="177" formatCode="0.00000"/>
    <numFmt numFmtId="178" formatCode="0.000E+00"/>
    <numFmt numFmtId="179" formatCode="0.0E+00"/>
    <numFmt numFmtId="180" formatCode="0E+00"/>
    <numFmt numFmtId="181" formatCode="0.0000E+00"/>
    <numFmt numFmtId="182" formatCode="0.E+00"/>
    <numFmt numFmtId="183" formatCode="0.0.E+00"/>
    <numFmt numFmtId="184" formatCode="0.00.E+0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Symbol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vertAlign val="subscript"/>
      <sz val="8"/>
      <name val="Arial"/>
      <family val="2"/>
    </font>
    <font>
      <vertAlign val="subscript"/>
      <sz val="8"/>
      <name val="Symbol"/>
      <family val="1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sz val="7"/>
      <color indexed="61"/>
      <name val="Arial"/>
      <family val="2"/>
    </font>
    <font>
      <b/>
      <sz val="7"/>
      <name val="Arial"/>
      <family val="2"/>
    </font>
    <font>
      <sz val="8.75"/>
      <name val="Arial"/>
      <family val="2"/>
    </font>
    <font>
      <i/>
      <sz val="8"/>
      <color indexed="10"/>
      <name val="Arial"/>
      <family val="2"/>
    </font>
    <font>
      <i/>
      <sz val="8"/>
      <color indexed="20"/>
      <name val="Arial"/>
      <family val="2"/>
    </font>
    <font>
      <b/>
      <sz val="8"/>
      <name val="Symbol"/>
      <family val="1"/>
    </font>
    <font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color indexed="61"/>
      <name val="Arial"/>
      <family val="2"/>
    </font>
    <font>
      <u val="single"/>
      <sz val="8"/>
      <name val="Arial"/>
      <family val="2"/>
    </font>
    <font>
      <i/>
      <vertAlign val="subscript"/>
      <sz val="8"/>
      <name val="Arial"/>
      <family val="2"/>
    </font>
    <font>
      <i/>
      <sz val="8"/>
      <name val="Symbol"/>
      <family val="1"/>
    </font>
    <font>
      <i/>
      <u val="single"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sz val="7.2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" fontId="4" fillId="2" borderId="0" xfId="0" applyNumberFormat="1" applyFont="1" applyFill="1" applyAlignment="1" applyProtection="1">
      <alignment vertical="center"/>
      <protection/>
    </xf>
    <xf numFmtId="172" fontId="4" fillId="2" borderId="0" xfId="0" applyNumberFormat="1" applyFont="1" applyFill="1" applyAlignment="1" applyProtection="1">
      <alignment vertical="center"/>
      <protection/>
    </xf>
    <xf numFmtId="172" fontId="4" fillId="2" borderId="0" xfId="0" applyNumberFormat="1" applyFont="1" applyFill="1" applyAlignment="1" applyProtection="1">
      <alignment horizontal="center" vertical="center"/>
      <protection/>
    </xf>
    <xf numFmtId="172" fontId="4" fillId="2" borderId="0" xfId="0" applyNumberFormat="1" applyFont="1" applyFill="1" applyAlignment="1" applyProtection="1">
      <alignment horizontal="right" vertical="center"/>
      <protection/>
    </xf>
    <xf numFmtId="172" fontId="4" fillId="2" borderId="0" xfId="0" applyNumberFormat="1" applyFont="1" applyFill="1" applyBorder="1" applyAlignment="1" applyProtection="1">
      <alignment horizontal="center" vertical="center"/>
      <protection/>
    </xf>
    <xf numFmtId="175" fontId="4" fillId="2" borderId="0" xfId="0" applyNumberFormat="1" applyFont="1" applyFill="1" applyAlignment="1" applyProtection="1">
      <alignment horizontal="center" vertical="center"/>
      <protection/>
    </xf>
    <xf numFmtId="175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0" xfId="0" applyNumberFormat="1" applyFont="1" applyFill="1" applyAlignment="1" applyProtection="1">
      <alignment vertical="center"/>
      <protection/>
    </xf>
    <xf numFmtId="1" fontId="4" fillId="2" borderId="0" xfId="0" applyNumberFormat="1" applyFont="1" applyFill="1" applyAlignment="1" applyProtection="1">
      <alignment horizontal="center" vertical="center"/>
      <protection/>
    </xf>
    <xf numFmtId="175" fontId="4" fillId="2" borderId="0" xfId="0" applyNumberFormat="1" applyFont="1" applyFill="1" applyAlignment="1" applyProtection="1">
      <alignment vertical="center"/>
      <protection/>
    </xf>
    <xf numFmtId="175" fontId="4" fillId="2" borderId="0" xfId="0" applyNumberFormat="1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175" fontId="13" fillId="2" borderId="0" xfId="0" applyNumberFormat="1" applyFont="1" applyFill="1" applyBorder="1" applyAlignment="1" applyProtection="1">
      <alignment horizontal="center" vertical="center"/>
      <protection/>
    </xf>
    <xf numFmtId="172" fontId="13" fillId="2" borderId="0" xfId="0" applyNumberFormat="1" applyFont="1" applyFill="1" applyBorder="1" applyAlignment="1" applyProtection="1">
      <alignment horizontal="center" vertical="center"/>
      <protection/>
    </xf>
    <xf numFmtId="1" fontId="13" fillId="2" borderId="0" xfId="0" applyNumberFormat="1" applyFont="1" applyFill="1" applyBorder="1" applyAlignment="1" applyProtection="1">
      <alignment horizontal="left" vertical="center"/>
      <protection/>
    </xf>
    <xf numFmtId="172" fontId="13" fillId="2" borderId="0" xfId="0" applyNumberFormat="1" applyFont="1" applyFill="1" applyAlignment="1" applyProtection="1">
      <alignment horizontal="center" vertical="center"/>
      <protection/>
    </xf>
    <xf numFmtId="1" fontId="13" fillId="2" borderId="0" xfId="0" applyNumberFormat="1" applyFont="1" applyFill="1" applyAlignment="1" applyProtection="1">
      <alignment horizontal="center" vertical="center"/>
      <protection/>
    </xf>
    <xf numFmtId="172" fontId="13" fillId="2" borderId="0" xfId="0" applyNumberFormat="1" applyFont="1" applyFill="1" applyAlignment="1" applyProtection="1">
      <alignment vertical="center"/>
      <protection/>
    </xf>
    <xf numFmtId="2" fontId="13" fillId="2" borderId="0" xfId="0" applyNumberFormat="1" applyFont="1" applyFill="1" applyAlignment="1" applyProtection="1">
      <alignment horizontal="center" vertical="center"/>
      <protection/>
    </xf>
    <xf numFmtId="1" fontId="13" fillId="2" borderId="1" xfId="0" applyNumberFormat="1" applyFont="1" applyFill="1" applyBorder="1" applyAlignment="1" applyProtection="1">
      <alignment horizontal="center" vertical="center"/>
      <protection/>
    </xf>
    <xf numFmtId="175" fontId="16" fillId="2" borderId="0" xfId="0" applyNumberFormat="1" applyFont="1" applyFill="1" applyAlignment="1" applyProtection="1">
      <alignment horizontal="center" vertical="center"/>
      <protection/>
    </xf>
    <xf numFmtId="1" fontId="17" fillId="3" borderId="1" xfId="0" applyNumberFormat="1" applyFont="1" applyFill="1" applyBorder="1" applyAlignment="1" applyProtection="1">
      <alignment horizontal="center" vertical="center"/>
      <protection/>
    </xf>
    <xf numFmtId="175" fontId="13" fillId="0" borderId="0" xfId="0" applyNumberFormat="1" applyFont="1" applyFill="1" applyAlignment="1" applyProtection="1">
      <alignment horizontal="center" vertical="center"/>
      <protection/>
    </xf>
    <xf numFmtId="1" fontId="13" fillId="2" borderId="0" xfId="0" applyNumberFormat="1" applyFont="1" applyFill="1" applyAlignment="1" applyProtection="1">
      <alignment horizontal="left" vertical="center"/>
      <protection/>
    </xf>
    <xf numFmtId="1" fontId="5" fillId="2" borderId="0" xfId="0" applyNumberFormat="1" applyFont="1" applyFill="1" applyBorder="1" applyAlignment="1" applyProtection="1">
      <alignment horizontal="center" vertical="center"/>
      <protection/>
    </xf>
    <xf numFmtId="172" fontId="4" fillId="4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Border="1" applyAlignment="1" applyProtection="1">
      <alignment vertical="center"/>
      <protection/>
    </xf>
    <xf numFmtId="2" fontId="5" fillId="2" borderId="0" xfId="0" applyNumberFormat="1" applyFont="1" applyFill="1" applyBorder="1" applyAlignment="1" applyProtection="1">
      <alignment horizontal="right" vertical="center"/>
      <protection/>
    </xf>
    <xf numFmtId="172" fontId="4" fillId="2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2" fontId="4" fillId="4" borderId="0" xfId="0" applyNumberFormat="1" applyFont="1" applyFill="1" applyBorder="1" applyAlignment="1" applyProtection="1">
      <alignment horizontal="center" vertical="center"/>
      <protection locked="0"/>
    </xf>
    <xf numFmtId="172" fontId="10" fillId="2" borderId="0" xfId="0" applyNumberFormat="1" applyFont="1" applyFill="1" applyBorder="1" applyAlignment="1" applyProtection="1">
      <alignment horizontal="center" vertical="center"/>
      <protection/>
    </xf>
    <xf numFmtId="1" fontId="4" fillId="2" borderId="2" xfId="0" applyNumberFormat="1" applyFont="1" applyFill="1" applyBorder="1" applyAlignment="1" applyProtection="1">
      <alignment horizontal="center" vertical="center"/>
      <protection/>
    </xf>
    <xf numFmtId="172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1" fontId="13" fillId="3" borderId="1" xfId="0" applyNumberFormat="1" applyFont="1" applyFill="1" applyBorder="1" applyAlignment="1" applyProtection="1">
      <alignment horizontal="center" vertical="center"/>
      <protection/>
    </xf>
    <xf numFmtId="172" fontId="4" fillId="2" borderId="3" xfId="0" applyNumberFormat="1" applyFont="1" applyFill="1" applyBorder="1" applyAlignment="1" applyProtection="1">
      <alignment horizontal="center" vertical="center"/>
      <protection/>
    </xf>
    <xf numFmtId="175" fontId="4" fillId="2" borderId="2" xfId="0" applyNumberFormat="1" applyFont="1" applyFill="1" applyBorder="1" applyAlignment="1" applyProtection="1">
      <alignment horizontal="center" vertical="center"/>
      <protection/>
    </xf>
    <xf numFmtId="1" fontId="4" fillId="2" borderId="4" xfId="0" applyNumberFormat="1" applyFont="1" applyFill="1" applyBorder="1" applyAlignment="1" applyProtection="1">
      <alignment horizontal="center" vertical="center"/>
      <protection/>
    </xf>
    <xf numFmtId="172" fontId="4" fillId="2" borderId="5" xfId="0" applyNumberFormat="1" applyFont="1" applyFill="1" applyBorder="1" applyAlignment="1" applyProtection="1">
      <alignment horizontal="center" vertical="center"/>
      <protection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75" fontId="4" fillId="4" borderId="5" xfId="0" applyNumberFormat="1" applyFont="1" applyFill="1" applyBorder="1" applyAlignment="1" applyProtection="1">
      <alignment horizontal="center" vertical="center"/>
      <protection locked="0"/>
    </xf>
    <xf numFmtId="175" fontId="4" fillId="2" borderId="5" xfId="0" applyNumberFormat="1" applyFont="1" applyFill="1" applyBorder="1" applyAlignment="1" applyProtection="1">
      <alignment horizontal="center" vertical="center"/>
      <protection/>
    </xf>
    <xf numFmtId="2" fontId="14" fillId="2" borderId="0" xfId="0" applyNumberFormat="1" applyFont="1" applyFill="1" applyBorder="1" applyAlignment="1" applyProtection="1">
      <alignment horizontal="left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2" fontId="4" fillId="5" borderId="0" xfId="0" applyNumberFormat="1" applyFont="1" applyFill="1" applyBorder="1" applyAlignment="1" applyProtection="1">
      <alignment horizontal="center" vertical="center"/>
      <protection/>
    </xf>
    <xf numFmtId="175" fontId="4" fillId="2" borderId="3" xfId="0" applyNumberFormat="1" applyFont="1" applyFill="1" applyBorder="1" applyAlignment="1" applyProtection="1">
      <alignment horizontal="center" vertical="center"/>
      <protection/>
    </xf>
    <xf numFmtId="1" fontId="4" fillId="6" borderId="6" xfId="0" applyNumberFormat="1" applyFont="1" applyFill="1" applyBorder="1" applyAlignment="1" applyProtection="1">
      <alignment horizontal="center" vertical="center"/>
      <protection/>
    </xf>
    <xf numFmtId="175" fontId="4" fillId="6" borderId="5" xfId="0" applyNumberFormat="1" applyFont="1" applyFill="1" applyBorder="1" applyAlignment="1" applyProtection="1">
      <alignment horizontal="center" vertical="center"/>
      <protection/>
    </xf>
    <xf numFmtId="175" fontId="4" fillId="5" borderId="0" xfId="0" applyNumberFormat="1" applyFont="1" applyFill="1" applyBorder="1" applyAlignment="1" applyProtection="1">
      <alignment horizontal="center" vertical="center"/>
      <protection/>
    </xf>
    <xf numFmtId="2" fontId="6" fillId="2" borderId="0" xfId="0" applyNumberFormat="1" applyFont="1" applyFill="1" applyBorder="1" applyAlignment="1" applyProtection="1">
      <alignment horizontal="left" vertical="center"/>
      <protection/>
    </xf>
    <xf numFmtId="1" fontId="4" fillId="2" borderId="0" xfId="0" applyNumberFormat="1" applyFont="1" applyFill="1" applyBorder="1" applyAlignment="1" applyProtection="1">
      <alignment vertical="center"/>
      <protection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172" fontId="7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 applyProtection="1">
      <alignment horizontal="left" vertical="center"/>
      <protection/>
    </xf>
    <xf numFmtId="175" fontId="10" fillId="2" borderId="0" xfId="0" applyNumberFormat="1" applyFont="1" applyFill="1" applyBorder="1" applyAlignment="1" applyProtection="1">
      <alignment horizontal="center" vertical="center"/>
      <protection/>
    </xf>
    <xf numFmtId="1" fontId="20" fillId="2" borderId="0" xfId="0" applyNumberFormat="1" applyFont="1" applyFill="1" applyBorder="1" applyAlignment="1" applyProtection="1">
      <alignment vertical="center"/>
      <protection/>
    </xf>
    <xf numFmtId="1" fontId="5" fillId="2" borderId="0" xfId="0" applyNumberFormat="1" applyFont="1" applyFill="1" applyBorder="1" applyAlignment="1" applyProtection="1">
      <alignment horizontal="left" vertical="center"/>
      <protection/>
    </xf>
    <xf numFmtId="2" fontId="10" fillId="2" borderId="0" xfId="0" applyNumberFormat="1" applyFont="1" applyFill="1" applyBorder="1" applyAlignment="1" applyProtection="1">
      <alignment horizontal="center" vertical="center"/>
      <protection/>
    </xf>
    <xf numFmtId="175" fontId="21" fillId="2" borderId="3" xfId="0" applyNumberFormat="1" applyFont="1" applyFill="1" applyBorder="1" applyAlignment="1" applyProtection="1">
      <alignment horizontal="center" vertical="center"/>
      <protection/>
    </xf>
    <xf numFmtId="175" fontId="21" fillId="2" borderId="2" xfId="0" applyNumberFormat="1" applyFont="1" applyFill="1" applyBorder="1" applyAlignment="1" applyProtection="1">
      <alignment horizontal="center" vertical="center"/>
      <protection/>
    </xf>
    <xf numFmtId="1" fontId="4" fillId="2" borderId="7" xfId="0" applyNumberFormat="1" applyFont="1" applyFill="1" applyBorder="1" applyAlignment="1" applyProtection="1">
      <alignment horizontal="center" vertical="center"/>
      <protection/>
    </xf>
    <xf numFmtId="175" fontId="7" fillId="2" borderId="7" xfId="0" applyNumberFormat="1" applyFont="1" applyFill="1" applyBorder="1" applyAlignment="1" applyProtection="1">
      <alignment horizontal="center" vertical="center"/>
      <protection/>
    </xf>
    <xf numFmtId="1" fontId="7" fillId="2" borderId="7" xfId="0" applyNumberFormat="1" applyFont="1" applyFill="1" applyBorder="1" applyAlignment="1" applyProtection="1">
      <alignment horizontal="center" vertical="center"/>
      <protection/>
    </xf>
    <xf numFmtId="175" fontId="4" fillId="2" borderId="7" xfId="0" applyNumberFormat="1" applyFont="1" applyFill="1" applyBorder="1" applyAlignment="1" applyProtection="1">
      <alignment horizontal="center" vertical="center"/>
      <protection/>
    </xf>
    <xf numFmtId="172" fontId="4" fillId="2" borderId="7" xfId="0" applyNumberFormat="1" applyFont="1" applyFill="1" applyBorder="1" applyAlignment="1" applyProtection="1">
      <alignment horizontal="left" vertical="center"/>
      <protection/>
    </xf>
    <xf numFmtId="172" fontId="4" fillId="2" borderId="7" xfId="0" applyNumberFormat="1" applyFont="1" applyFill="1" applyBorder="1" applyAlignment="1" applyProtection="1">
      <alignment horizontal="center" vertical="center"/>
      <protection/>
    </xf>
    <xf numFmtId="11" fontId="4" fillId="2" borderId="6" xfId="0" applyNumberFormat="1" applyFont="1" applyFill="1" applyBorder="1" applyAlignment="1" applyProtection="1">
      <alignment vertical="center"/>
      <protection/>
    </xf>
    <xf numFmtId="11" fontId="4" fillId="2" borderId="8" xfId="0" applyNumberFormat="1" applyFont="1" applyFill="1" applyBorder="1" applyAlignment="1" applyProtection="1">
      <alignment horizontal="center" vertical="center"/>
      <protection/>
    </xf>
    <xf numFmtId="11" fontId="4" fillId="2" borderId="7" xfId="0" applyNumberFormat="1" applyFont="1" applyFill="1" applyBorder="1" applyAlignment="1" applyProtection="1">
      <alignment horizontal="center" vertical="center"/>
      <protection/>
    </xf>
    <xf numFmtId="175" fontId="21" fillId="2" borderId="4" xfId="0" applyNumberFormat="1" applyFont="1" applyFill="1" applyBorder="1" applyAlignment="1" applyProtection="1">
      <alignment horizontal="center" vertical="center"/>
      <protection/>
    </xf>
    <xf numFmtId="1" fontId="4" fillId="2" borderId="7" xfId="0" applyNumberFormat="1" applyFont="1" applyFill="1" applyBorder="1" applyAlignment="1" applyProtection="1">
      <alignment horizontal="right" vertical="center"/>
      <protection/>
    </xf>
    <xf numFmtId="172" fontId="7" fillId="2" borderId="7" xfId="0" applyNumberFormat="1" applyFont="1" applyFill="1" applyBorder="1" applyAlignment="1" applyProtection="1">
      <alignment horizontal="left" vertical="center"/>
      <protection/>
    </xf>
    <xf numFmtId="175" fontId="4" fillId="2" borderId="7" xfId="0" applyNumberFormat="1" applyFont="1" applyFill="1" applyBorder="1" applyAlignment="1" applyProtection="1">
      <alignment vertical="center"/>
      <protection/>
    </xf>
    <xf numFmtId="2" fontId="7" fillId="2" borderId="7" xfId="0" applyNumberFormat="1" applyFont="1" applyFill="1" applyBorder="1" applyAlignment="1" applyProtection="1">
      <alignment horizontal="center" vertical="center"/>
      <protection/>
    </xf>
    <xf numFmtId="11" fontId="4" fillId="0" borderId="9" xfId="0" applyNumberFormat="1" applyFont="1" applyFill="1" applyBorder="1" applyAlignment="1" applyProtection="1">
      <alignment horizontal="center" vertical="center"/>
      <protection/>
    </xf>
    <xf numFmtId="11" fontId="4" fillId="2" borderId="7" xfId="0" applyNumberFormat="1" applyFont="1" applyFill="1" applyBorder="1" applyAlignment="1" applyProtection="1">
      <alignment vertical="center"/>
      <protection/>
    </xf>
    <xf numFmtId="175" fontId="4" fillId="2" borderId="7" xfId="0" applyNumberFormat="1" applyFont="1" applyFill="1" applyBorder="1" applyAlignment="1" applyProtection="1">
      <alignment horizontal="right" vertical="center"/>
      <protection/>
    </xf>
    <xf numFmtId="2" fontId="4" fillId="2" borderId="7" xfId="0" applyNumberFormat="1" applyFont="1" applyFill="1" applyBorder="1" applyAlignment="1" applyProtection="1">
      <alignment horizontal="center" vertical="center"/>
      <protection/>
    </xf>
    <xf numFmtId="172" fontId="10" fillId="2" borderId="3" xfId="0" applyNumberFormat="1" applyFont="1" applyFill="1" applyBorder="1" applyAlignment="1" applyProtection="1">
      <alignment horizontal="center" vertical="center"/>
      <protection/>
    </xf>
    <xf numFmtId="175" fontId="10" fillId="2" borderId="0" xfId="0" applyNumberFormat="1" applyFont="1" applyFill="1" applyBorder="1" applyAlignment="1" applyProtection="1">
      <alignment horizontal="right" vertical="center"/>
      <protection/>
    </xf>
    <xf numFmtId="1" fontId="10" fillId="2" borderId="1" xfId="0" applyNumberFormat="1" applyFont="1" applyFill="1" applyBorder="1" applyAlignment="1" applyProtection="1">
      <alignment horizontal="right" vertical="center"/>
      <protection/>
    </xf>
    <xf numFmtId="175" fontId="10" fillId="2" borderId="1" xfId="0" applyNumberFormat="1" applyFont="1" applyFill="1" applyBorder="1" applyAlignment="1" applyProtection="1">
      <alignment horizontal="right" vertical="center"/>
      <protection/>
    </xf>
    <xf numFmtId="175" fontId="4" fillId="2" borderId="6" xfId="0" applyNumberFormat="1" applyFont="1" applyFill="1" applyBorder="1" applyAlignment="1" applyProtection="1">
      <alignment horizontal="center" vertical="center"/>
      <protection/>
    </xf>
    <xf numFmtId="175" fontId="10" fillId="3" borderId="10" xfId="0" applyNumberFormat="1" applyFont="1" applyFill="1" applyBorder="1" applyAlignment="1" applyProtection="1">
      <alignment horizontal="center" vertical="center"/>
      <protection/>
    </xf>
    <xf numFmtId="175" fontId="4" fillId="3" borderId="10" xfId="0" applyNumberFormat="1" applyFont="1" applyFill="1" applyBorder="1" applyAlignment="1" applyProtection="1">
      <alignment horizontal="center" vertical="center"/>
      <protection/>
    </xf>
    <xf numFmtId="1" fontId="10" fillId="3" borderId="10" xfId="0" applyNumberFormat="1" applyFont="1" applyFill="1" applyBorder="1" applyAlignment="1" applyProtection="1">
      <alignment horizontal="center" vertical="center"/>
      <protection/>
    </xf>
    <xf numFmtId="1" fontId="4" fillId="3" borderId="10" xfId="0" applyNumberFormat="1" applyFont="1" applyFill="1" applyBorder="1" applyAlignment="1" applyProtection="1">
      <alignment horizontal="center" vertical="center"/>
      <protection/>
    </xf>
    <xf numFmtId="1" fontId="14" fillId="2" borderId="0" xfId="0" applyNumberFormat="1" applyFont="1" applyFill="1" applyBorder="1" applyAlignment="1" applyProtection="1">
      <alignment horizontal="left" vertical="center"/>
      <protection/>
    </xf>
    <xf numFmtId="1" fontId="10" fillId="3" borderId="0" xfId="0" applyNumberFormat="1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175" fontId="4" fillId="2" borderId="0" xfId="0" applyNumberFormat="1" applyFont="1" applyFill="1" applyBorder="1" applyAlignment="1" applyProtection="1">
      <alignment vertical="center"/>
      <protection/>
    </xf>
    <xf numFmtId="2" fontId="4" fillId="2" borderId="5" xfId="0" applyNumberFormat="1" applyFont="1" applyFill="1" applyBorder="1" applyAlignment="1" applyProtection="1">
      <alignment vertical="center"/>
      <protection/>
    </xf>
    <xf numFmtId="2" fontId="4" fillId="2" borderId="0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175" fontId="4" fillId="2" borderId="8" xfId="0" applyNumberFormat="1" applyFont="1" applyFill="1" applyBorder="1" applyAlignment="1" applyProtection="1">
      <alignment horizontal="center" vertical="center"/>
      <protection/>
    </xf>
    <xf numFmtId="1" fontId="4" fillId="2" borderId="8" xfId="0" applyNumberFormat="1" applyFont="1" applyFill="1" applyBorder="1" applyAlignment="1" applyProtection="1">
      <alignment horizontal="center" vertical="center"/>
      <protection/>
    </xf>
    <xf numFmtId="175" fontId="10" fillId="3" borderId="0" xfId="0" applyNumberFormat="1" applyFont="1" applyFill="1" applyBorder="1" applyAlignment="1" applyProtection="1">
      <alignment horizontal="center" vertical="center"/>
      <protection/>
    </xf>
    <xf numFmtId="172" fontId="10" fillId="2" borderId="1" xfId="0" applyNumberFormat="1" applyFont="1" applyFill="1" applyBorder="1" applyAlignment="1" applyProtection="1">
      <alignment horizontal="right" vertical="center"/>
      <protection/>
    </xf>
    <xf numFmtId="172" fontId="4" fillId="2" borderId="8" xfId="0" applyNumberFormat="1" applyFont="1" applyFill="1" applyBorder="1" applyAlignment="1" applyProtection="1">
      <alignment horizontal="center" vertical="center"/>
      <protection/>
    </xf>
    <xf numFmtId="175" fontId="10" fillId="3" borderId="8" xfId="0" applyNumberFormat="1" applyFont="1" applyFill="1" applyBorder="1" applyAlignment="1" applyProtection="1">
      <alignment horizontal="center" vertical="center"/>
      <protection/>
    </xf>
    <xf numFmtId="2" fontId="10" fillId="3" borderId="8" xfId="0" applyNumberFormat="1" applyFont="1" applyFill="1" applyBorder="1" applyAlignment="1" applyProtection="1">
      <alignment horizontal="center" vertical="center"/>
      <protection/>
    </xf>
    <xf numFmtId="172" fontId="5" fillId="2" borderId="6" xfId="0" applyNumberFormat="1" applyFont="1" applyFill="1" applyBorder="1" applyAlignment="1" applyProtection="1">
      <alignment horizontal="center" vertical="center"/>
      <protection/>
    </xf>
    <xf numFmtId="172" fontId="4" fillId="0" borderId="6" xfId="0" applyNumberFormat="1" applyFont="1" applyFill="1" applyBorder="1" applyAlignment="1" applyProtection="1">
      <alignment horizontal="center" vertical="center"/>
      <protection/>
    </xf>
    <xf numFmtId="172" fontId="4" fillId="0" borderId="5" xfId="0" applyNumberFormat="1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 applyProtection="1">
      <alignment horizontal="left" vertical="center"/>
      <protection/>
    </xf>
    <xf numFmtId="1" fontId="4" fillId="2" borderId="5" xfId="0" applyNumberFormat="1" applyFont="1" applyFill="1" applyBorder="1" applyAlignment="1" applyProtection="1">
      <alignment horizontal="center" vertical="center"/>
      <protection/>
    </xf>
    <xf numFmtId="172" fontId="4" fillId="2" borderId="5" xfId="0" applyNumberFormat="1" applyFont="1" applyFill="1" applyBorder="1" applyAlignment="1" applyProtection="1">
      <alignment horizontal="right" vertical="center"/>
      <protection/>
    </xf>
    <xf numFmtId="1" fontId="5" fillId="7" borderId="11" xfId="0" applyNumberFormat="1" applyFont="1" applyFill="1" applyBorder="1" applyAlignment="1" applyProtection="1">
      <alignment horizontal="center" vertical="center"/>
      <protection/>
    </xf>
    <xf numFmtId="1" fontId="10" fillId="2" borderId="12" xfId="0" applyNumberFormat="1" applyFont="1" applyFill="1" applyBorder="1" applyAlignment="1" applyProtection="1">
      <alignment horizontal="left" vertical="center"/>
      <protection/>
    </xf>
    <xf numFmtId="172" fontId="4" fillId="2" borderId="12" xfId="0" applyNumberFormat="1" applyFont="1" applyFill="1" applyBorder="1" applyAlignment="1" applyProtection="1">
      <alignment horizontal="center" vertical="center"/>
      <protection/>
    </xf>
    <xf numFmtId="172" fontId="4" fillId="2" borderId="12" xfId="0" applyNumberFormat="1" applyFont="1" applyFill="1" applyBorder="1" applyAlignment="1" applyProtection="1">
      <alignment horizontal="right" vertical="center"/>
      <protection/>
    </xf>
    <xf numFmtId="1" fontId="4" fillId="2" borderId="12" xfId="0" applyNumberFormat="1" applyFont="1" applyFill="1" applyBorder="1" applyAlignment="1" applyProtection="1">
      <alignment horizontal="center" vertical="center"/>
      <protection/>
    </xf>
    <xf numFmtId="175" fontId="4" fillId="2" borderId="12" xfId="0" applyNumberFormat="1" applyFont="1" applyFill="1" applyBorder="1" applyAlignment="1" applyProtection="1">
      <alignment horizontal="center" vertical="center"/>
      <protection/>
    </xf>
    <xf numFmtId="172" fontId="10" fillId="2" borderId="13" xfId="0" applyNumberFormat="1" applyFont="1" applyFill="1" applyBorder="1" applyAlignment="1" applyProtection="1">
      <alignment horizontal="left" vertical="center"/>
      <protection/>
    </xf>
    <xf numFmtId="172" fontId="4" fillId="2" borderId="14" xfId="0" applyNumberFormat="1" applyFont="1" applyFill="1" applyBorder="1" applyAlignment="1" applyProtection="1">
      <alignment horizontal="center" vertical="center"/>
      <protection/>
    </xf>
    <xf numFmtId="172" fontId="14" fillId="2" borderId="13" xfId="0" applyNumberFormat="1" applyFont="1" applyFill="1" applyBorder="1" applyAlignment="1" applyProtection="1">
      <alignment vertical="center"/>
      <protection/>
    </xf>
    <xf numFmtId="172" fontId="4" fillId="2" borderId="15" xfId="0" applyNumberFormat="1" applyFont="1" applyFill="1" applyBorder="1" applyAlignment="1" applyProtection="1">
      <alignment vertical="center"/>
      <protection/>
    </xf>
    <xf numFmtId="1" fontId="5" fillId="7" borderId="16" xfId="0" applyNumberFormat="1" applyFont="1" applyFill="1" applyBorder="1" applyAlignment="1" applyProtection="1">
      <alignment horizontal="center" vertical="center"/>
      <protection/>
    </xf>
    <xf numFmtId="172" fontId="4" fillId="2" borderId="17" xfId="0" applyNumberFormat="1" applyFont="1" applyFill="1" applyBorder="1" applyAlignment="1" applyProtection="1">
      <alignment horizontal="center" vertical="center"/>
      <protection/>
    </xf>
    <xf numFmtId="2" fontId="4" fillId="2" borderId="17" xfId="0" applyNumberFormat="1" applyFont="1" applyFill="1" applyBorder="1" applyAlignment="1" applyProtection="1">
      <alignment horizontal="center" vertical="center"/>
      <protection/>
    </xf>
    <xf numFmtId="172" fontId="4" fillId="2" borderId="0" xfId="0" applyNumberFormat="1" applyFont="1" applyFill="1" applyBorder="1" applyAlignment="1" applyProtection="1">
      <alignment vertical="center"/>
      <protection/>
    </xf>
    <xf numFmtId="2" fontId="14" fillId="2" borderId="0" xfId="0" applyNumberFormat="1" applyFont="1" applyFill="1" applyBorder="1" applyAlignment="1" applyProtection="1">
      <alignment vertical="center"/>
      <protection/>
    </xf>
    <xf numFmtId="1" fontId="4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0" xfId="0" applyNumberFormat="1" applyFont="1" applyFill="1" applyBorder="1" applyAlignment="1" applyProtection="1">
      <alignment horizontal="right" vertical="center"/>
      <protection/>
    </xf>
    <xf numFmtId="2" fontId="4" fillId="2" borderId="17" xfId="0" applyNumberFormat="1" applyFont="1" applyFill="1" applyBorder="1" applyAlignment="1" applyProtection="1">
      <alignment vertical="center"/>
      <protection/>
    </xf>
    <xf numFmtId="2" fontId="10" fillId="2" borderId="18" xfId="0" applyNumberFormat="1" applyFont="1" applyFill="1" applyBorder="1" applyAlignment="1" applyProtection="1">
      <alignment horizontal="center" vertical="center"/>
      <protection/>
    </xf>
    <xf numFmtId="2" fontId="10" fillId="2" borderId="17" xfId="0" applyNumberFormat="1" applyFont="1" applyFill="1" applyBorder="1" applyAlignment="1" applyProtection="1">
      <alignment horizontal="center" vertical="center"/>
      <protection/>
    </xf>
    <xf numFmtId="1" fontId="6" fillId="2" borderId="0" xfId="0" applyNumberFormat="1" applyFont="1" applyFill="1" applyBorder="1" applyAlignment="1" applyProtection="1">
      <alignment vertical="center"/>
      <protection/>
    </xf>
    <xf numFmtId="172" fontId="6" fillId="2" borderId="0" xfId="0" applyNumberFormat="1" applyFont="1" applyFill="1" applyBorder="1" applyAlignment="1" applyProtection="1">
      <alignment horizontal="center" vertical="center"/>
      <protection/>
    </xf>
    <xf numFmtId="1" fontId="6" fillId="2" borderId="0" xfId="0" applyNumberFormat="1" applyFont="1" applyFill="1" applyBorder="1" applyAlignment="1" applyProtection="1">
      <alignment horizontal="left" vertical="center"/>
      <protection/>
    </xf>
    <xf numFmtId="172" fontId="6" fillId="2" borderId="0" xfId="0" applyNumberFormat="1" applyFont="1" applyFill="1" applyBorder="1" applyAlignment="1" applyProtection="1">
      <alignment horizontal="left" vertical="center"/>
      <protection/>
    </xf>
    <xf numFmtId="172" fontId="14" fillId="2" borderId="0" xfId="0" applyNumberFormat="1" applyFont="1" applyFill="1" applyBorder="1" applyAlignment="1" applyProtection="1">
      <alignment vertical="center"/>
      <protection/>
    </xf>
    <xf numFmtId="172" fontId="4" fillId="2" borderId="17" xfId="0" applyNumberFormat="1" applyFont="1" applyFill="1" applyBorder="1" applyAlignment="1" applyProtection="1">
      <alignment vertical="center"/>
      <protection/>
    </xf>
    <xf numFmtId="175" fontId="4" fillId="2" borderId="17" xfId="0" applyNumberFormat="1" applyFont="1" applyFill="1" applyBorder="1" applyAlignment="1" applyProtection="1">
      <alignment horizontal="center" vertical="center"/>
      <protection/>
    </xf>
    <xf numFmtId="1" fontId="4" fillId="2" borderId="17" xfId="0" applyNumberFormat="1" applyFont="1" applyFill="1" applyBorder="1" applyAlignment="1" applyProtection="1">
      <alignment vertical="center"/>
      <protection/>
    </xf>
    <xf numFmtId="1" fontId="10" fillId="2" borderId="17" xfId="0" applyNumberFormat="1" applyFont="1" applyFill="1" applyBorder="1" applyAlignment="1" applyProtection="1">
      <alignment horizontal="center" vertical="center"/>
      <protection/>
    </xf>
    <xf numFmtId="175" fontId="10" fillId="2" borderId="17" xfId="0" applyNumberFormat="1" applyFont="1" applyFill="1" applyBorder="1" applyAlignment="1" applyProtection="1">
      <alignment horizontal="center" vertical="center"/>
      <protection/>
    </xf>
    <xf numFmtId="172" fontId="10" fillId="2" borderId="17" xfId="0" applyNumberFormat="1" applyFont="1" applyFill="1" applyBorder="1" applyAlignment="1" applyProtection="1">
      <alignment horizontal="center" vertical="center"/>
      <protection/>
    </xf>
    <xf numFmtId="1" fontId="6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" fontId="7" fillId="2" borderId="0" xfId="0" applyNumberFormat="1" applyFont="1" applyFill="1" applyBorder="1" applyAlignment="1" applyProtection="1">
      <alignment horizontal="right" vertical="center"/>
      <protection/>
    </xf>
    <xf numFmtId="175" fontId="4" fillId="0" borderId="0" xfId="0" applyNumberFormat="1" applyFont="1" applyFill="1" applyBorder="1" applyAlignment="1" applyProtection="1">
      <alignment horizontal="center" vertical="center"/>
      <protection/>
    </xf>
    <xf numFmtId="1" fontId="5" fillId="7" borderId="19" xfId="0" applyNumberFormat="1" applyFont="1" applyFill="1" applyBorder="1" applyAlignment="1" applyProtection="1">
      <alignment horizontal="center" vertical="center"/>
      <protection/>
    </xf>
    <xf numFmtId="1" fontId="4" fillId="2" borderId="20" xfId="0" applyNumberFormat="1" applyFont="1" applyFill="1" applyBorder="1" applyAlignment="1" applyProtection="1">
      <alignment vertical="center"/>
      <protection/>
    </xf>
    <xf numFmtId="172" fontId="4" fillId="2" borderId="20" xfId="0" applyNumberFormat="1" applyFont="1" applyFill="1" applyBorder="1" applyAlignment="1" applyProtection="1">
      <alignment horizontal="center" vertical="center"/>
      <protection/>
    </xf>
    <xf numFmtId="1" fontId="4" fillId="2" borderId="20" xfId="0" applyNumberFormat="1" applyFont="1" applyFill="1" applyBorder="1" applyAlignment="1" applyProtection="1">
      <alignment horizontal="center" vertical="center"/>
      <protection/>
    </xf>
    <xf numFmtId="172" fontId="4" fillId="2" borderId="20" xfId="0" applyNumberFormat="1" applyFont="1" applyFill="1" applyBorder="1" applyAlignment="1" applyProtection="1">
      <alignment vertical="center"/>
      <protection/>
    </xf>
    <xf numFmtId="172" fontId="10" fillId="2" borderId="0" xfId="0" applyNumberFormat="1" applyFont="1" applyFill="1" applyBorder="1" applyAlignment="1" applyProtection="1">
      <alignment vertical="center"/>
      <protection/>
    </xf>
    <xf numFmtId="1" fontId="5" fillId="2" borderId="17" xfId="0" applyNumberFormat="1" applyFont="1" applyFill="1" applyBorder="1" applyAlignment="1" applyProtection="1">
      <alignment horizontal="center" vertical="center"/>
      <protection/>
    </xf>
    <xf numFmtId="1" fontId="4" fillId="6" borderId="9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75" fontId="10" fillId="0" borderId="0" xfId="0" applyNumberFormat="1" applyFont="1" applyFill="1" applyBorder="1" applyAlignment="1" applyProtection="1">
      <alignment horizontal="center" vertical="center"/>
      <protection/>
    </xf>
    <xf numFmtId="172" fontId="4" fillId="2" borderId="20" xfId="0" applyNumberFormat="1" applyFont="1" applyFill="1" applyBorder="1" applyAlignment="1" applyProtection="1">
      <alignment horizontal="right" vertical="center"/>
      <protection/>
    </xf>
    <xf numFmtId="175" fontId="4" fillId="2" borderId="20" xfId="0" applyNumberFormat="1" applyFont="1" applyFill="1" applyBorder="1" applyAlignment="1" applyProtection="1">
      <alignment horizontal="center" vertical="center"/>
      <protection/>
    </xf>
    <xf numFmtId="2" fontId="4" fillId="2" borderId="15" xfId="0" applyNumberFormat="1" applyFont="1" applyFill="1" applyBorder="1" applyAlignment="1" applyProtection="1">
      <alignment vertical="center"/>
      <protection/>
    </xf>
    <xf numFmtId="172" fontId="4" fillId="2" borderId="21" xfId="0" applyNumberFormat="1" applyFont="1" applyFill="1" applyBorder="1" applyAlignment="1" applyProtection="1">
      <alignment horizontal="center" vertical="center"/>
      <protection/>
    </xf>
    <xf numFmtId="11" fontId="4" fillId="2" borderId="21" xfId="0" applyNumberFormat="1" applyFont="1" applyFill="1" applyBorder="1" applyAlignment="1" applyProtection="1">
      <alignment horizontal="center" vertical="center"/>
      <protection/>
    </xf>
    <xf numFmtId="178" fontId="4" fillId="2" borderId="0" xfId="0" applyNumberFormat="1" applyFont="1" applyFill="1" applyBorder="1" applyAlignment="1" applyProtection="1">
      <alignment horizontal="center" vertical="center"/>
      <protection/>
    </xf>
    <xf numFmtId="175" fontId="4" fillId="2" borderId="17" xfId="0" applyNumberFormat="1" applyFont="1" applyFill="1" applyBorder="1" applyAlignment="1" applyProtection="1">
      <alignment vertical="center"/>
      <protection/>
    </xf>
    <xf numFmtId="175" fontId="7" fillId="2" borderId="21" xfId="0" applyNumberFormat="1" applyFont="1" applyFill="1" applyBorder="1" applyAlignment="1" applyProtection="1">
      <alignment horizontal="center" vertical="center"/>
      <protection/>
    </xf>
    <xf numFmtId="175" fontId="4" fillId="2" borderId="21" xfId="0" applyNumberFormat="1" applyFont="1" applyFill="1" applyBorder="1" applyAlignment="1" applyProtection="1">
      <alignment horizontal="center" vertical="center"/>
      <protection/>
    </xf>
    <xf numFmtId="175" fontId="10" fillId="2" borderId="0" xfId="0" applyNumberFormat="1" applyFont="1" applyFill="1" applyBorder="1" applyAlignment="1" applyProtection="1">
      <alignment vertical="center"/>
      <protection/>
    </xf>
    <xf numFmtId="178" fontId="4" fillId="2" borderId="0" xfId="0" applyNumberFormat="1" applyFont="1" applyFill="1" applyBorder="1" applyAlignment="1" applyProtection="1">
      <alignment vertical="center"/>
      <protection/>
    </xf>
    <xf numFmtId="172" fontId="5" fillId="2" borderId="0" xfId="0" applyNumberFormat="1" applyFont="1" applyFill="1" applyBorder="1" applyAlignment="1" applyProtection="1">
      <alignment vertical="center"/>
      <protection/>
    </xf>
    <xf numFmtId="176" fontId="4" fillId="2" borderId="0" xfId="0" applyNumberFormat="1" applyFont="1" applyFill="1" applyBorder="1" applyAlignment="1" applyProtection="1">
      <alignment horizontal="center" vertical="center"/>
      <protection/>
    </xf>
    <xf numFmtId="176" fontId="4" fillId="2" borderId="17" xfId="0" applyNumberFormat="1" applyFont="1" applyFill="1" applyBorder="1" applyAlignment="1" applyProtection="1">
      <alignment horizontal="center" vertical="center"/>
      <protection/>
    </xf>
    <xf numFmtId="175" fontId="5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 applyProtection="1">
      <alignment horizontal="right" vertical="center"/>
      <protection/>
    </xf>
    <xf numFmtId="1" fontId="4" fillId="3" borderId="0" xfId="0" applyNumberFormat="1" applyFont="1" applyFill="1" applyBorder="1" applyAlignment="1" applyProtection="1">
      <alignment horizontal="right" vertical="center"/>
      <protection/>
    </xf>
    <xf numFmtId="175" fontId="4" fillId="3" borderId="22" xfId="0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right" vertical="center"/>
      <protection/>
    </xf>
    <xf numFmtId="172" fontId="4" fillId="2" borderId="23" xfId="0" applyNumberFormat="1" applyFont="1" applyFill="1" applyBorder="1" applyAlignment="1" applyProtection="1">
      <alignment vertical="center"/>
      <protection/>
    </xf>
    <xf numFmtId="172" fontId="5" fillId="2" borderId="2" xfId="0" applyNumberFormat="1" applyFont="1" applyFill="1" applyBorder="1" applyAlignment="1" applyProtection="1">
      <alignment horizontal="left" vertical="center"/>
      <protection/>
    </xf>
    <xf numFmtId="1" fontId="4" fillId="2" borderId="2" xfId="0" applyNumberFormat="1" applyFont="1" applyFill="1" applyBorder="1" applyAlignment="1" applyProtection="1">
      <alignment vertical="center"/>
      <protection/>
    </xf>
    <xf numFmtId="172" fontId="14" fillId="2" borderId="0" xfId="0" applyNumberFormat="1" applyFont="1" applyFill="1" applyBorder="1" applyAlignment="1" applyProtection="1">
      <alignment horizontal="right" vertical="center"/>
      <protection/>
    </xf>
    <xf numFmtId="176" fontId="4" fillId="2" borderId="9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176" fontId="4" fillId="8" borderId="17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/>
    </xf>
    <xf numFmtId="2" fontId="4" fillId="2" borderId="24" xfId="0" applyNumberFormat="1" applyFont="1" applyFill="1" applyBorder="1" applyAlignment="1" applyProtection="1">
      <alignment horizontal="center" vertical="center"/>
      <protection/>
    </xf>
    <xf numFmtId="172" fontId="6" fillId="2" borderId="12" xfId="0" applyNumberFormat="1" applyFont="1" applyFill="1" applyBorder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 horizontal="center" vertical="center"/>
      <protection/>
    </xf>
    <xf numFmtId="1" fontId="4" fillId="2" borderId="12" xfId="0" applyNumberFormat="1" applyFont="1" applyFill="1" applyBorder="1" applyAlignment="1" applyProtection="1">
      <alignment vertical="center"/>
      <protection/>
    </xf>
    <xf numFmtId="175" fontId="4" fillId="2" borderId="12" xfId="0" applyNumberFormat="1" applyFont="1" applyFill="1" applyBorder="1" applyAlignment="1" applyProtection="1">
      <alignment vertical="center"/>
      <protection/>
    </xf>
    <xf numFmtId="2" fontId="4" fillId="2" borderId="12" xfId="0" applyNumberFormat="1" applyFont="1" applyFill="1" applyBorder="1" applyAlignment="1" applyProtection="1">
      <alignment vertical="center"/>
      <protection/>
    </xf>
    <xf numFmtId="175" fontId="4" fillId="2" borderId="24" xfId="0" applyNumberFormat="1" applyFont="1" applyFill="1" applyBorder="1" applyAlignment="1" applyProtection="1">
      <alignment horizontal="center" vertical="center"/>
      <protection/>
    </xf>
    <xf numFmtId="2" fontId="13" fillId="2" borderId="0" xfId="0" applyNumberFormat="1" applyFont="1" applyFill="1" applyBorder="1" applyAlignment="1" applyProtection="1">
      <alignment horizontal="center" vertical="center"/>
      <protection/>
    </xf>
    <xf numFmtId="1" fontId="4" fillId="4" borderId="0" xfId="0" applyNumberFormat="1" applyFont="1" applyFill="1" applyBorder="1" applyAlignment="1" applyProtection="1">
      <alignment horizontal="center" vertical="center"/>
      <protection locked="0"/>
    </xf>
    <xf numFmtId="172" fontId="10" fillId="2" borderId="12" xfId="0" applyNumberFormat="1" applyFont="1" applyFill="1" applyBorder="1" applyAlignment="1" applyProtection="1">
      <alignment horizontal="right" vertical="center"/>
      <protection/>
    </xf>
    <xf numFmtId="172" fontId="4" fillId="9" borderId="6" xfId="0" applyNumberFormat="1" applyFont="1" applyFill="1" applyBorder="1" applyAlignment="1" applyProtection="1">
      <alignment horizontal="center" vertical="center"/>
      <protection/>
    </xf>
    <xf numFmtId="172" fontId="4" fillId="6" borderId="5" xfId="0" applyNumberFormat="1" applyFont="1" applyFill="1" applyBorder="1" applyAlignment="1" applyProtection="1">
      <alignment horizontal="center" vertical="center"/>
      <protection/>
    </xf>
    <xf numFmtId="172" fontId="4" fillId="6" borderId="24" xfId="0" applyNumberFormat="1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right" vertical="center"/>
      <protection/>
    </xf>
    <xf numFmtId="175" fontId="10" fillId="2" borderId="9" xfId="0" applyNumberFormat="1" applyFont="1" applyFill="1" applyBorder="1" applyAlignment="1" applyProtection="1">
      <alignment horizontal="center" vertical="center"/>
      <protection/>
    </xf>
    <xf numFmtId="172" fontId="28" fillId="10" borderId="0" xfId="0" applyNumberFormat="1" applyFont="1" applyFill="1" applyBorder="1" applyAlignment="1" applyProtection="1">
      <alignment horizontal="left" vertical="center"/>
      <protection/>
    </xf>
    <xf numFmtId="1" fontId="4" fillId="10" borderId="0" xfId="0" applyNumberFormat="1" applyFont="1" applyFill="1" applyBorder="1" applyAlignment="1" applyProtection="1">
      <alignment horizontal="center" vertical="center"/>
      <protection/>
    </xf>
    <xf numFmtId="1" fontId="24" fillId="10" borderId="0" xfId="0" applyNumberFormat="1" applyFont="1" applyFill="1" applyBorder="1" applyAlignment="1" applyProtection="1">
      <alignment horizontal="center" vertical="center"/>
      <protection/>
    </xf>
    <xf numFmtId="175" fontId="4" fillId="10" borderId="0" xfId="0" applyNumberFormat="1" applyFont="1" applyFill="1" applyBorder="1" applyAlignment="1" applyProtection="1">
      <alignment horizontal="center" vertical="center"/>
      <protection/>
    </xf>
    <xf numFmtId="175" fontId="4" fillId="10" borderId="0" xfId="0" applyNumberFormat="1" applyFont="1" applyFill="1" applyBorder="1" applyAlignment="1" applyProtection="1">
      <alignment vertical="center"/>
      <protection/>
    </xf>
    <xf numFmtId="172" fontId="4" fillId="10" borderId="0" xfId="0" applyNumberFormat="1" applyFont="1" applyFill="1" applyBorder="1" applyAlignment="1" applyProtection="1">
      <alignment vertical="center"/>
      <protection/>
    </xf>
    <xf numFmtId="2" fontId="4" fillId="10" borderId="17" xfId="0" applyNumberFormat="1" applyFont="1" applyFill="1" applyBorder="1" applyAlignment="1" applyProtection="1">
      <alignment vertical="center"/>
      <protection/>
    </xf>
    <xf numFmtId="175" fontId="4" fillId="2" borderId="2" xfId="0" applyNumberFormat="1" applyFont="1" applyFill="1" applyBorder="1" applyAlignment="1" applyProtection="1">
      <alignment vertical="center"/>
      <protection/>
    </xf>
    <xf numFmtId="2" fontId="4" fillId="2" borderId="2" xfId="0" applyNumberFormat="1" applyFont="1" applyFill="1" applyBorder="1" applyAlignment="1" applyProtection="1">
      <alignment vertical="center"/>
      <protection/>
    </xf>
    <xf numFmtId="2" fontId="4" fillId="2" borderId="18" xfId="0" applyNumberFormat="1" applyFont="1" applyFill="1" applyBorder="1" applyAlignment="1" applyProtection="1">
      <alignment vertical="center"/>
      <protection/>
    </xf>
    <xf numFmtId="1" fontId="5" fillId="7" borderId="25" xfId="0" applyNumberFormat="1" applyFont="1" applyFill="1" applyBorder="1" applyAlignment="1" applyProtection="1">
      <alignment horizontal="center" vertical="center"/>
      <protection/>
    </xf>
    <xf numFmtId="1" fontId="4" fillId="2" borderId="5" xfId="0" applyNumberFormat="1" applyFont="1" applyFill="1" applyBorder="1" applyAlignment="1" applyProtection="1">
      <alignment vertical="center"/>
      <protection/>
    </xf>
    <xf numFmtId="175" fontId="4" fillId="2" borderId="5" xfId="0" applyNumberFormat="1" applyFont="1" applyFill="1" applyBorder="1" applyAlignment="1" applyProtection="1">
      <alignment vertical="center"/>
      <protection/>
    </xf>
    <xf numFmtId="1" fontId="5" fillId="7" borderId="26" xfId="0" applyNumberFormat="1" applyFont="1" applyFill="1" applyBorder="1" applyAlignment="1" applyProtection="1">
      <alignment horizontal="center" vertical="center"/>
      <protection/>
    </xf>
    <xf numFmtId="2" fontId="4" fillId="2" borderId="24" xfId="0" applyNumberFormat="1" applyFont="1" applyFill="1" applyBorder="1" applyAlignment="1" applyProtection="1">
      <alignment vertical="center"/>
      <protection/>
    </xf>
    <xf numFmtId="1" fontId="19" fillId="2" borderId="1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'E28-FAL'!$L$15:$L$28</c:f>
              <c:numCache/>
            </c:numRef>
          </c:cat>
          <c:val>
            <c:numRef>
              <c:f>'E28-FAL'!$K$15:$K$28</c:f>
              <c:numCache/>
            </c:numRef>
          </c:val>
          <c:smooth val="0"/>
        </c:ser>
        <c:axId val="46641700"/>
        <c:axId val="17122117"/>
      </c:lineChart>
      <c:catAx>
        <c:axId val="4664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RLtg / XLtg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.000" sourceLinked="0"/>
        <c:majorTickMark val="cross"/>
        <c:minorTickMark val="out"/>
        <c:tickLblPos val="low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17122117"/>
        <c:crosses val="autoZero"/>
        <c:auto val="1"/>
        <c:lblOffset val="0"/>
        <c:tickLblSkip val="2"/>
        <c:tickMarkSkip val="2"/>
        <c:noMultiLvlLbl val="0"/>
      </c:catAx>
      <c:valAx>
        <c:axId val="1712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U"Ltg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641700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0.00725</cdr:y>
    </cdr:from>
    <cdr:to>
      <cdr:x>0.3005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9050"/>
          <a:ext cx="647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
Ltg [V]</a:t>
          </a:r>
        </a:p>
      </cdr:txBody>
    </cdr:sp>
  </cdr:relSizeAnchor>
  <cdr:relSizeAnchor xmlns:cdr="http://schemas.openxmlformats.org/drawingml/2006/chartDrawing">
    <cdr:from>
      <cdr:x>0.77525</cdr:x>
      <cdr:y>0.72</cdr:y>
    </cdr:from>
    <cdr:to>
      <cdr:x>0.9065</cdr:x>
      <cdr:y>0.77925</cdr:y>
    </cdr:to>
    <cdr:sp>
      <cdr:nvSpPr>
        <cdr:cNvPr id="2" name="TextBox 3"/>
        <cdr:cNvSpPr txBox="1">
          <a:spLocks noChangeArrowheads="1"/>
        </cdr:cNvSpPr>
      </cdr:nvSpPr>
      <cdr:spPr>
        <a:xfrm>
          <a:off x="3305175" y="1895475"/>
          <a:ext cx="561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95250</xdr:rowOff>
    </xdr:from>
    <xdr:to>
      <xdr:col>9</xdr:col>
      <xdr:colOff>295275</xdr:colOff>
      <xdr:row>29</xdr:row>
      <xdr:rowOff>28575</xdr:rowOff>
    </xdr:to>
    <xdr:graphicFrame>
      <xdr:nvGraphicFramePr>
        <xdr:cNvPr id="1" name="Chart 30"/>
        <xdr:cNvGraphicFramePr/>
      </xdr:nvGraphicFramePr>
      <xdr:xfrm>
        <a:off x="352425" y="2038350"/>
        <a:ext cx="42672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2"/>
  <sheetViews>
    <sheetView showGridLines="0" tabSelected="1" zoomScale="125" zoomScaleNormal="125" workbookViewId="0" topLeftCell="A1">
      <selection activeCell="O13" sqref="O13"/>
    </sheetView>
  </sheetViews>
  <sheetFormatPr defaultColWidth="11.421875" defaultRowHeight="12.75" customHeight="1"/>
  <cols>
    <col min="1" max="1" width="3.7109375" style="1" customWidth="1"/>
    <col min="2" max="2" width="8.00390625" style="1" customWidth="1"/>
    <col min="3" max="3" width="7.7109375" style="1" customWidth="1"/>
    <col min="4" max="4" width="7.57421875" style="4" customWidth="1"/>
    <col min="5" max="5" width="7.57421875" style="3" customWidth="1"/>
    <col min="6" max="6" width="7.57421875" style="9" customWidth="1"/>
    <col min="7" max="7" width="7.57421875" style="6" customWidth="1"/>
    <col min="8" max="9" width="7.57421875" style="9" customWidth="1"/>
    <col min="10" max="10" width="7.57421875" style="3" customWidth="1"/>
    <col min="11" max="11" width="7.57421875" style="10" customWidth="1"/>
    <col min="12" max="13" width="7.57421875" style="8" customWidth="1"/>
    <col min="14" max="14" width="7.7109375" style="1" customWidth="1"/>
    <col min="15" max="17" width="7.7109375" style="2" customWidth="1"/>
    <col min="18" max="16384" width="11.57421875" style="2" customWidth="1"/>
  </cols>
  <sheetData>
    <row r="1" spans="1:18" ht="12.75" customHeight="1">
      <c r="A1" s="112">
        <v>1</v>
      </c>
      <c r="B1" s="113" t="s">
        <v>125</v>
      </c>
      <c r="C1" s="114"/>
      <c r="D1" s="115"/>
      <c r="E1" s="114"/>
      <c r="F1" s="194" t="s">
        <v>126</v>
      </c>
      <c r="G1" s="217" t="str">
        <f>IF(G2&gt;=1,"kapazitiv","induktiv")</f>
        <v>induktiv</v>
      </c>
      <c r="H1" s="118" t="s">
        <v>119</v>
      </c>
      <c r="I1" s="116"/>
      <c r="J1" s="119"/>
      <c r="K1" s="120" t="s">
        <v>30</v>
      </c>
      <c r="L1" s="116"/>
      <c r="M1" s="121"/>
      <c r="O1" s="1"/>
      <c r="Q1" s="1"/>
      <c r="R1" s="1"/>
    </row>
    <row r="2" spans="1:18" ht="12.75" customHeight="1">
      <c r="A2" s="122">
        <v>2</v>
      </c>
      <c r="B2" s="29" t="s">
        <v>8</v>
      </c>
      <c r="C2" s="26">
        <v>20</v>
      </c>
      <c r="D2" s="29"/>
      <c r="E2" s="192" t="s">
        <v>121</v>
      </c>
      <c r="F2" s="192" t="s">
        <v>122</v>
      </c>
      <c r="G2" s="193">
        <v>-1</v>
      </c>
      <c r="H2" s="93" t="s">
        <v>14</v>
      </c>
      <c r="I2" s="30" t="s">
        <v>136</v>
      </c>
      <c r="J2" s="100" t="s">
        <v>18</v>
      </c>
      <c r="K2" s="93" t="s">
        <v>18</v>
      </c>
      <c r="L2" s="7" t="s">
        <v>17</v>
      </c>
      <c r="M2" s="123" t="s">
        <v>37</v>
      </c>
      <c r="O2" s="1"/>
      <c r="Q2" s="1"/>
      <c r="R2" s="1"/>
    </row>
    <row r="3" spans="1:18" ht="12.75" customHeight="1">
      <c r="A3" s="122">
        <v>3</v>
      </c>
      <c r="B3" s="54"/>
      <c r="C3" s="54"/>
      <c r="D3" s="29"/>
      <c r="H3" s="182">
        <f>K3/L3</f>
        <v>0.7142857142857143</v>
      </c>
      <c r="I3" s="26">
        <v>0.1</v>
      </c>
      <c r="J3" s="104">
        <f>I9*I3</f>
        <v>4.5</v>
      </c>
      <c r="K3" s="94">
        <v>5</v>
      </c>
      <c r="L3" s="31">
        <v>7</v>
      </c>
      <c r="M3" s="183">
        <v>0.15</v>
      </c>
      <c r="O3" s="1"/>
      <c r="Q3" s="1"/>
      <c r="R3" s="1"/>
    </row>
    <row r="4" spans="1:18" ht="12.75" customHeight="1">
      <c r="A4" s="122">
        <v>4</v>
      </c>
      <c r="B4" s="55" t="s">
        <v>13</v>
      </c>
      <c r="C4" s="110" t="s">
        <v>0</v>
      </c>
      <c r="D4" s="45" t="s">
        <v>44</v>
      </c>
      <c r="E4" s="45" t="s">
        <v>1</v>
      </c>
      <c r="F4" s="45" t="s">
        <v>2</v>
      </c>
      <c r="G4" s="192"/>
      <c r="H4" s="93"/>
      <c r="I4" s="36"/>
      <c r="J4" s="103"/>
      <c r="K4" s="95"/>
      <c r="L4" s="27"/>
      <c r="M4" s="129"/>
      <c r="O4" s="1"/>
      <c r="Q4" s="1"/>
      <c r="R4" s="1"/>
    </row>
    <row r="5" spans="1:18" ht="12.75" customHeight="1">
      <c r="A5" s="122">
        <v>5</v>
      </c>
      <c r="B5" s="11" t="s">
        <v>5</v>
      </c>
      <c r="C5" s="5">
        <f>C2/SQRT(3)</f>
        <v>11.547005383792516</v>
      </c>
      <c r="D5" s="7">
        <v>0</v>
      </c>
      <c r="E5" s="36">
        <f>(COS(D5/180*PI())*C5)*1000</f>
        <v>11547.005383792517</v>
      </c>
      <c r="F5" s="47">
        <f>(SIN(D5/180*PI())*C5)*1000</f>
        <v>0</v>
      </c>
      <c r="G5" s="28"/>
      <c r="H5" s="93"/>
      <c r="I5" s="30" t="s">
        <v>16</v>
      </c>
      <c r="J5" s="99" t="s">
        <v>17</v>
      </c>
      <c r="K5" s="36" t="s">
        <v>131</v>
      </c>
      <c r="L5" s="36" t="s">
        <v>132</v>
      </c>
      <c r="M5" s="123" t="s">
        <v>24</v>
      </c>
      <c r="O5" s="1"/>
      <c r="Q5" s="1"/>
      <c r="R5" s="1"/>
    </row>
    <row r="6" spans="1:18" ht="12.75" customHeight="1">
      <c r="A6" s="122">
        <v>6</v>
      </c>
      <c r="B6" s="54"/>
      <c r="C6" s="110" t="s">
        <v>0</v>
      </c>
      <c r="D6" s="45" t="s">
        <v>44</v>
      </c>
      <c r="E6" s="45" t="s">
        <v>1</v>
      </c>
      <c r="F6" s="45" t="s">
        <v>2</v>
      </c>
      <c r="G6" s="7"/>
      <c r="H6" s="93"/>
      <c r="I6" s="26">
        <v>0.4</v>
      </c>
      <c r="J6" s="105">
        <f>J9*I9</f>
        <v>5.6548667764616285</v>
      </c>
      <c r="K6" s="195">
        <f>K3/H33</f>
        <v>0.1111111111111111</v>
      </c>
      <c r="L6" s="196">
        <f>M9/H33</f>
        <v>0.49514871184145215</v>
      </c>
      <c r="M6" s="197">
        <f>1000*M3/(PI()*2*50)</f>
        <v>0.477464829275686</v>
      </c>
      <c r="O6" s="1"/>
      <c r="Q6" s="1"/>
      <c r="R6" s="1"/>
    </row>
    <row r="7" spans="1:18" ht="12.75" customHeight="1">
      <c r="A7" s="122">
        <v>7</v>
      </c>
      <c r="B7" s="30" t="s">
        <v>7</v>
      </c>
      <c r="C7" s="31">
        <v>211.47</v>
      </c>
      <c r="D7" s="101">
        <f>G2*ACOS(C8)*180/PI()</f>
        <v>-30.683417108975817</v>
      </c>
      <c r="E7" s="36">
        <f>COS(D7/180*PI())*C7</f>
        <v>181.8642</v>
      </c>
      <c r="F7" s="36">
        <f>SIN(D7/180*PI())*C7</f>
        <v>-107.91187913459758</v>
      </c>
      <c r="G7" s="36"/>
      <c r="H7" s="93"/>
      <c r="I7" s="36"/>
      <c r="J7" s="103"/>
      <c r="K7" s="95"/>
      <c r="L7" s="27"/>
      <c r="M7" s="129"/>
      <c r="O7" s="1"/>
      <c r="Q7" s="1"/>
      <c r="R7" s="1"/>
    </row>
    <row r="8" spans="1:18" ht="12.75" customHeight="1">
      <c r="A8" s="122">
        <v>8</v>
      </c>
      <c r="B8" s="5" t="s">
        <v>4</v>
      </c>
      <c r="C8" s="26">
        <v>0.86</v>
      </c>
      <c r="D8" s="29"/>
      <c r="E8" s="180" t="s">
        <v>127</v>
      </c>
      <c r="F8" s="5" t="s">
        <v>6</v>
      </c>
      <c r="G8" s="7" t="s">
        <v>32</v>
      </c>
      <c r="H8" s="93"/>
      <c r="I8" s="30" t="s">
        <v>118</v>
      </c>
      <c r="J8" s="103" t="s">
        <v>19</v>
      </c>
      <c r="K8" s="35" t="s">
        <v>29</v>
      </c>
      <c r="L8" s="7" t="s">
        <v>3</v>
      </c>
      <c r="M8" s="123" t="s">
        <v>36</v>
      </c>
      <c r="O8" s="1"/>
      <c r="Q8" s="1"/>
      <c r="R8" s="1"/>
    </row>
    <row r="9" spans="1:18" ht="12.75" customHeight="1">
      <c r="A9" s="122">
        <v>9</v>
      </c>
      <c r="B9" s="45" t="s">
        <v>6</v>
      </c>
      <c r="C9" s="45">
        <f>(C7*C8*C5)</f>
        <v>2099.9868965191185</v>
      </c>
      <c r="D9" s="111"/>
      <c r="E9" s="96"/>
      <c r="F9" s="44">
        <v>2100</v>
      </c>
      <c r="G9" s="184">
        <f>F9/(C5*C8)</f>
        <v>211.47131952875824</v>
      </c>
      <c r="H9" s="106"/>
      <c r="I9" s="43">
        <v>45</v>
      </c>
      <c r="J9" s="181">
        <f>PI()*2*50*I6*0.001</f>
        <v>0.12566370614359174</v>
      </c>
      <c r="K9" s="184">
        <f>SQRT(J3^2+J6^2)</f>
        <v>7.226860885580234</v>
      </c>
      <c r="L9" s="184">
        <f>ATAN2(J3,J6)*180/PI()</f>
        <v>51.48811274603343</v>
      </c>
      <c r="M9" s="185">
        <f>L3*1000/(2*PI()*50)</f>
        <v>22.281692032865347</v>
      </c>
      <c r="O9" s="1"/>
      <c r="Q9" s="1"/>
      <c r="R9" s="1"/>
    </row>
    <row r="10" spans="1:18" ht="12.75" customHeight="1">
      <c r="A10" s="122">
        <v>10</v>
      </c>
      <c r="B10" s="54"/>
      <c r="C10" s="54"/>
      <c r="D10" s="29"/>
      <c r="E10" s="5"/>
      <c r="F10" s="36"/>
      <c r="G10" s="7"/>
      <c r="H10" s="36"/>
      <c r="I10" s="36"/>
      <c r="J10" s="5"/>
      <c r="K10" s="95"/>
      <c r="L10" s="27"/>
      <c r="M10" s="129"/>
      <c r="O10" s="1"/>
      <c r="Q10" s="1"/>
      <c r="R10" s="1"/>
    </row>
    <row r="11" spans="1:18" ht="12.75" customHeight="1">
      <c r="A11" s="122">
        <v>11</v>
      </c>
      <c r="B11" s="152" t="s">
        <v>105</v>
      </c>
      <c r="C11" s="54"/>
      <c r="D11" s="29"/>
      <c r="E11" s="11" t="s">
        <v>103</v>
      </c>
      <c r="F11" s="92">
        <f>N222</f>
        <v>1439.965122246962</v>
      </c>
      <c r="G11" s="126" t="s">
        <v>15</v>
      </c>
      <c r="H11" s="36"/>
      <c r="I11" s="36"/>
      <c r="J11" s="5"/>
      <c r="K11" s="95"/>
      <c r="L11" s="97" t="s">
        <v>135</v>
      </c>
      <c r="M11" s="140">
        <f>(C7^2*J3)/1000</f>
        <v>201.23802404999998</v>
      </c>
      <c r="O11" s="1"/>
      <c r="Q11" s="1"/>
      <c r="R11" s="1"/>
    </row>
    <row r="12" spans="1:18" ht="12.75" customHeight="1">
      <c r="A12" s="122">
        <v>12</v>
      </c>
      <c r="B12" s="54"/>
      <c r="C12" s="125"/>
      <c r="D12" s="29"/>
      <c r="E12" s="11" t="s">
        <v>104</v>
      </c>
      <c r="F12" s="36">
        <f>D55</f>
        <v>1436.3385216760707</v>
      </c>
      <c r="G12" s="91" t="s">
        <v>143</v>
      </c>
      <c r="H12" s="36"/>
      <c r="I12" s="36"/>
      <c r="J12" s="5"/>
      <c r="K12" s="95"/>
      <c r="L12" s="97" t="s">
        <v>139</v>
      </c>
      <c r="M12" s="127">
        <f>M11/(M48*10)</f>
        <v>9.582763049999999</v>
      </c>
      <c r="O12" s="1"/>
      <c r="Q12" s="1"/>
      <c r="R12" s="1"/>
    </row>
    <row r="13" spans="1:18" ht="12.75" customHeight="1">
      <c r="A13" s="122">
        <v>13</v>
      </c>
      <c r="B13" s="54"/>
      <c r="C13" s="125"/>
      <c r="D13" s="125"/>
      <c r="E13" s="125"/>
      <c r="F13" s="125"/>
      <c r="G13" s="125"/>
      <c r="H13" s="36"/>
      <c r="I13" s="36"/>
      <c r="J13" s="5"/>
      <c r="K13" s="95"/>
      <c r="L13" s="27"/>
      <c r="M13" s="129"/>
      <c r="O13" s="1"/>
      <c r="Q13" s="1"/>
      <c r="R13" s="1"/>
    </row>
    <row r="14" spans="1:18" ht="12.75" customHeight="1">
      <c r="A14" s="122">
        <v>14</v>
      </c>
      <c r="B14" s="54"/>
      <c r="C14" s="125"/>
      <c r="D14" s="125"/>
      <c r="E14" s="125"/>
      <c r="F14" s="125"/>
      <c r="G14" s="125"/>
      <c r="H14" s="36"/>
      <c r="I14" s="36"/>
      <c r="K14" s="7" t="s">
        <v>103</v>
      </c>
      <c r="L14" s="109" t="s">
        <v>14</v>
      </c>
      <c r="M14" s="127" t="s">
        <v>12</v>
      </c>
      <c r="O14" s="1"/>
      <c r="Q14" s="1"/>
      <c r="R14" s="1"/>
    </row>
    <row r="15" spans="1:18" ht="12.75" customHeight="1">
      <c r="A15" s="122">
        <v>15</v>
      </c>
      <c r="B15" s="54"/>
      <c r="C15" s="125"/>
      <c r="D15" s="125"/>
      <c r="E15" s="125"/>
      <c r="F15" s="125"/>
      <c r="G15" s="125"/>
      <c r="H15" s="36"/>
      <c r="I15" s="36"/>
      <c r="K15" s="33">
        <f>N92</f>
        <v>1308.3004882020014</v>
      </c>
      <c r="L15" s="34">
        <f>D92/E92</f>
        <v>1</v>
      </c>
      <c r="M15" s="130">
        <f>$J$3*L15</f>
        <v>4.5</v>
      </c>
      <c r="O15" s="1"/>
      <c r="Q15" s="1"/>
      <c r="R15" s="1"/>
    </row>
    <row r="16" spans="1:18" ht="12.75" customHeight="1">
      <c r="A16" s="122">
        <v>16</v>
      </c>
      <c r="B16" s="54"/>
      <c r="C16" s="125"/>
      <c r="D16" s="125"/>
      <c r="E16" s="125"/>
      <c r="F16" s="125"/>
      <c r="G16" s="125"/>
      <c r="H16" s="36"/>
      <c r="I16" s="36"/>
      <c r="K16" s="36">
        <f>N102</f>
        <v>1410.6273721923499</v>
      </c>
      <c r="L16" s="5">
        <f>D102/E102</f>
        <v>0.8333333333333336</v>
      </c>
      <c r="M16" s="124">
        <f aca="true" t="shared" si="0" ref="M16:M28">$J$3*1/L16</f>
        <v>5.399999999999999</v>
      </c>
      <c r="O16" s="1"/>
      <c r="Q16" s="1"/>
      <c r="R16" s="1"/>
    </row>
    <row r="17" spans="1:18" ht="12.75" customHeight="1">
      <c r="A17" s="122">
        <v>17</v>
      </c>
      <c r="B17" s="54"/>
      <c r="C17" s="125"/>
      <c r="D17" s="125"/>
      <c r="E17" s="125"/>
      <c r="F17" s="125"/>
      <c r="G17" s="125"/>
      <c r="H17" s="36"/>
      <c r="I17" s="36"/>
      <c r="K17" s="36">
        <f>N112</f>
        <v>1514.9259398695867</v>
      </c>
      <c r="L17" s="5">
        <f>D112/E112</f>
        <v>0.7142857142857146</v>
      </c>
      <c r="M17" s="124">
        <f t="shared" si="0"/>
        <v>6.299999999999997</v>
      </c>
      <c r="O17" s="1"/>
      <c r="Q17" s="1"/>
      <c r="R17" s="1"/>
    </row>
    <row r="18" spans="1:18" ht="12.75" customHeight="1">
      <c r="A18" s="122">
        <v>18</v>
      </c>
      <c r="B18" s="54"/>
      <c r="C18" s="125"/>
      <c r="D18" s="125"/>
      <c r="E18" s="125"/>
      <c r="F18" s="125"/>
      <c r="G18" s="125"/>
      <c r="H18" s="36"/>
      <c r="I18" s="36"/>
      <c r="K18" s="36">
        <f>N122</f>
        <v>1621.149341066106</v>
      </c>
      <c r="L18" s="5">
        <f>D122/E122</f>
        <v>0.6250000000000003</v>
      </c>
      <c r="M18" s="124">
        <f t="shared" si="0"/>
        <v>7.199999999999996</v>
      </c>
      <c r="O18" s="1"/>
      <c r="Q18" s="1"/>
      <c r="R18" s="1"/>
    </row>
    <row r="19" spans="1:18" ht="12.75" customHeight="1">
      <c r="A19" s="122">
        <v>19</v>
      </c>
      <c r="B19" s="54"/>
      <c r="C19" s="125"/>
      <c r="D19" s="125"/>
      <c r="E19" s="125"/>
      <c r="F19" s="125"/>
      <c r="G19" s="125"/>
      <c r="H19" s="36"/>
      <c r="I19" s="36"/>
      <c r="K19" s="36">
        <f>N132</f>
        <v>1729.251374052512</v>
      </c>
      <c r="L19" s="5">
        <f>D132/E132</f>
        <v>0.5555555555555559</v>
      </c>
      <c r="M19" s="124">
        <f t="shared" si="0"/>
        <v>8.099999999999994</v>
      </c>
      <c r="O19" s="1"/>
      <c r="Q19" s="1"/>
      <c r="R19" s="1"/>
    </row>
    <row r="20" spans="1:18" ht="12.75" customHeight="1">
      <c r="A20" s="122">
        <v>20</v>
      </c>
      <c r="B20" s="54"/>
      <c r="C20" s="125"/>
      <c r="D20" s="125"/>
      <c r="E20" s="125"/>
      <c r="F20" s="125"/>
      <c r="G20" s="125"/>
      <c r="H20" s="36"/>
      <c r="I20" s="36"/>
      <c r="K20" s="36">
        <f>N142</f>
        <v>1839.1865254583372</v>
      </c>
      <c r="L20" s="5">
        <f>D142/E142</f>
        <v>0.5000000000000004</v>
      </c>
      <c r="M20" s="124">
        <f t="shared" si="0"/>
        <v>8.999999999999993</v>
      </c>
      <c r="O20" s="1"/>
      <c r="Q20" s="1"/>
      <c r="R20" s="1"/>
    </row>
    <row r="21" spans="1:18" ht="12.75" customHeight="1">
      <c r="A21" s="122">
        <v>21</v>
      </c>
      <c r="B21" s="54"/>
      <c r="C21" s="125"/>
      <c r="D21" s="125"/>
      <c r="E21" s="125"/>
      <c r="F21" s="125"/>
      <c r="G21" s="125"/>
      <c r="H21" s="36"/>
      <c r="I21" s="36"/>
      <c r="K21" s="36">
        <f>N152</f>
        <v>1950.9100052969497</v>
      </c>
      <c r="L21" s="5">
        <f>D152/E152</f>
        <v>0.4545454545454549</v>
      </c>
      <c r="M21" s="124">
        <f t="shared" si="0"/>
        <v>9.899999999999991</v>
      </c>
      <c r="O21" s="1"/>
      <c r="Q21" s="1"/>
      <c r="R21" s="1"/>
    </row>
    <row r="22" spans="1:18" ht="12.75" customHeight="1">
      <c r="A22" s="122">
        <v>22</v>
      </c>
      <c r="B22" s="54"/>
      <c r="C22" s="125"/>
      <c r="D22" s="125"/>
      <c r="E22" s="125"/>
      <c r="F22" s="125"/>
      <c r="G22" s="125"/>
      <c r="H22" s="36"/>
      <c r="I22" s="36"/>
      <c r="K22" s="36">
        <f>N162</f>
        <v>2064.3777773488036</v>
      </c>
      <c r="L22" s="5">
        <f>D162/E162</f>
        <v>0.4166666666666671</v>
      </c>
      <c r="M22" s="124">
        <f t="shared" si="0"/>
        <v>10.79999999999999</v>
      </c>
      <c r="O22" s="1"/>
      <c r="Q22" s="1"/>
      <c r="R22" s="1"/>
    </row>
    <row r="23" spans="1:18" ht="12.75" customHeight="1">
      <c r="A23" s="122">
        <v>23</v>
      </c>
      <c r="B23" s="54"/>
      <c r="C23" s="125"/>
      <c r="D23" s="125"/>
      <c r="E23" s="125"/>
      <c r="F23" s="125"/>
      <c r="G23" s="125"/>
      <c r="H23" s="36"/>
      <c r="I23" s="36"/>
      <c r="K23" s="36">
        <f>N172</f>
        <v>2179.5465851632252</v>
      </c>
      <c r="L23" s="5">
        <v>0.385</v>
      </c>
      <c r="M23" s="124">
        <f t="shared" si="0"/>
        <v>11.688311688311687</v>
      </c>
      <c r="O23" s="1"/>
      <c r="Q23" s="1"/>
      <c r="R23" s="1"/>
    </row>
    <row r="24" spans="1:18" ht="12.75" customHeight="1">
      <c r="A24" s="122">
        <v>24</v>
      </c>
      <c r="B24" s="54"/>
      <c r="C24" s="54"/>
      <c r="D24" s="29"/>
      <c r="E24" s="5"/>
      <c r="F24" s="36"/>
      <c r="G24" s="7"/>
      <c r="H24" s="36"/>
      <c r="I24" s="36"/>
      <c r="K24" s="36">
        <f>N182</f>
        <v>2296.373973941707</v>
      </c>
      <c r="L24" s="5">
        <f>D182/E182</f>
        <v>0.3571428571428575</v>
      </c>
      <c r="M24" s="124">
        <f t="shared" si="0"/>
        <v>12.599999999999987</v>
      </c>
      <c r="O24" s="1"/>
      <c r="Q24" s="1"/>
      <c r="R24" s="1"/>
    </row>
    <row r="25" spans="1:18" ht="12" customHeight="1">
      <c r="A25" s="122">
        <v>25</v>
      </c>
      <c r="B25" s="54"/>
      <c r="C25" s="54"/>
      <c r="D25" s="29"/>
      <c r="E25" s="5"/>
      <c r="F25" s="36"/>
      <c r="G25" s="7"/>
      <c r="H25" s="5"/>
      <c r="I25" s="125"/>
      <c r="K25" s="36">
        <f>N192</f>
        <v>2414.818308565844</v>
      </c>
      <c r="L25" s="5">
        <f>D192/E192</f>
        <v>0.3333333333333337</v>
      </c>
      <c r="M25" s="124">
        <f t="shared" si="0"/>
        <v>13.499999999999986</v>
      </c>
      <c r="Q25" s="1"/>
      <c r="R25" s="1"/>
    </row>
    <row r="26" spans="1:18" ht="12" customHeight="1">
      <c r="A26" s="122">
        <v>26</v>
      </c>
      <c r="B26" s="54"/>
      <c r="C26" s="54"/>
      <c r="D26" s="29"/>
      <c r="E26" s="5"/>
      <c r="F26" s="36"/>
      <c r="G26" s="7"/>
      <c r="H26" s="36"/>
      <c r="I26" s="36"/>
      <c r="K26" s="36">
        <f>N202</f>
        <v>2534.8387880308055</v>
      </c>
      <c r="L26" s="5">
        <f>D202/E202</f>
        <v>0.31250000000000033</v>
      </c>
      <c r="M26" s="124">
        <f t="shared" si="0"/>
        <v>14.399999999999984</v>
      </c>
      <c r="Q26" s="1"/>
      <c r="R26" s="1"/>
    </row>
    <row r="27" spans="1:18" ht="12" customHeight="1">
      <c r="A27" s="122">
        <v>27</v>
      </c>
      <c r="B27" s="54"/>
      <c r="C27" s="54"/>
      <c r="D27" s="29"/>
      <c r="E27" s="5"/>
      <c r="F27" s="36"/>
      <c r="G27" s="7"/>
      <c r="H27" s="36"/>
      <c r="I27" s="36"/>
      <c r="K27" s="36">
        <f>N212</f>
        <v>2656.3954565410313</v>
      </c>
      <c r="L27" s="5">
        <f>D212/E212</f>
        <v>0.2941176470588239</v>
      </c>
      <c r="M27" s="124">
        <f t="shared" si="0"/>
        <v>15.299999999999983</v>
      </c>
      <c r="Q27" s="1"/>
      <c r="R27" s="1"/>
    </row>
    <row r="28" spans="1:18" ht="12" customHeight="1">
      <c r="A28" s="122">
        <v>28</v>
      </c>
      <c r="B28" s="54"/>
      <c r="C28" s="54"/>
      <c r="D28" s="29"/>
      <c r="E28" s="5"/>
      <c r="F28" s="36"/>
      <c r="G28" s="7"/>
      <c r="H28" s="36"/>
      <c r="I28" s="36"/>
      <c r="K28" s="36">
        <f>N219</f>
        <v>2742.3781831116394</v>
      </c>
      <c r="L28" s="5">
        <f>D219/E219</f>
        <v>0.28248587570621503</v>
      </c>
      <c r="M28" s="131">
        <f t="shared" si="0"/>
        <v>15.92999999999998</v>
      </c>
      <c r="Q28" s="1"/>
      <c r="R28" s="1"/>
    </row>
    <row r="29" spans="1:18" ht="12" customHeight="1">
      <c r="A29" s="122">
        <v>29</v>
      </c>
      <c r="B29" s="54"/>
      <c r="C29" s="54"/>
      <c r="D29" s="29"/>
      <c r="E29" s="5"/>
      <c r="F29" s="36"/>
      <c r="G29" s="7"/>
      <c r="H29" s="36"/>
      <c r="I29" s="36"/>
      <c r="J29" s="136"/>
      <c r="K29" s="125"/>
      <c r="L29" s="125"/>
      <c r="M29" s="137"/>
      <c r="Q29" s="1"/>
      <c r="R29" s="1"/>
    </row>
    <row r="30" spans="1:18" ht="12" customHeight="1">
      <c r="A30" s="122">
        <v>30</v>
      </c>
      <c r="B30" s="54"/>
      <c r="C30" s="54"/>
      <c r="D30" s="29"/>
      <c r="E30" s="5"/>
      <c r="F30" s="36"/>
      <c r="G30" s="7"/>
      <c r="H30" s="36"/>
      <c r="I30" s="36"/>
      <c r="J30" s="5"/>
      <c r="K30" s="95"/>
      <c r="L30" s="27"/>
      <c r="M30" s="129"/>
      <c r="Q30" s="1"/>
      <c r="R30" s="1"/>
    </row>
    <row r="31" spans="1:18" ht="12" customHeight="1">
      <c r="A31" s="122">
        <v>31</v>
      </c>
      <c r="B31" s="132" t="s">
        <v>22</v>
      </c>
      <c r="C31" s="25"/>
      <c r="D31" s="29"/>
      <c r="E31" s="133"/>
      <c r="F31" s="36"/>
      <c r="G31" s="7"/>
      <c r="H31" s="36"/>
      <c r="I31" s="134"/>
      <c r="J31" s="46" t="s">
        <v>31</v>
      </c>
      <c r="K31" s="47"/>
      <c r="L31" s="48"/>
      <c r="M31" s="129"/>
      <c r="Q31" s="1"/>
      <c r="R31" s="1"/>
    </row>
    <row r="32" spans="1:18" ht="12" customHeight="1">
      <c r="A32" s="122">
        <v>32</v>
      </c>
      <c r="B32" s="39" t="s">
        <v>23</v>
      </c>
      <c r="C32" s="34" t="s">
        <v>24</v>
      </c>
      <c r="D32" s="34" t="s">
        <v>19</v>
      </c>
      <c r="E32" s="33" t="s">
        <v>25</v>
      </c>
      <c r="F32" s="40" t="s">
        <v>26</v>
      </c>
      <c r="G32" s="34" t="s">
        <v>27</v>
      </c>
      <c r="H32" s="41" t="s">
        <v>28</v>
      </c>
      <c r="I32" s="36"/>
      <c r="J32" s="49" t="s">
        <v>33</v>
      </c>
      <c r="K32" s="33" t="s">
        <v>34</v>
      </c>
      <c r="L32" s="41" t="s">
        <v>35</v>
      </c>
      <c r="M32" s="153"/>
      <c r="Q32" s="1"/>
      <c r="R32" s="1"/>
    </row>
    <row r="33" spans="1:18" ht="12" customHeight="1">
      <c r="A33" s="122">
        <v>33</v>
      </c>
      <c r="B33" s="107">
        <f>I3</f>
        <v>0.1</v>
      </c>
      <c r="C33" s="108">
        <f>I6</f>
        <v>0.4</v>
      </c>
      <c r="D33" s="42">
        <f>PI()*2*50*C33*0.001</f>
        <v>0.12566370614359174</v>
      </c>
      <c r="E33" s="43">
        <v>8</v>
      </c>
      <c r="F33" s="44">
        <v>100</v>
      </c>
      <c r="G33" s="45">
        <f>1/(F33*0.001)</f>
        <v>10</v>
      </c>
      <c r="H33" s="98">
        <f>I9</f>
        <v>45</v>
      </c>
      <c r="I33" s="36"/>
      <c r="J33" s="50">
        <f>F33*H33</f>
        <v>4500</v>
      </c>
      <c r="K33" s="51">
        <f>1/(J33*0.000001)</f>
        <v>222.22222222222223</v>
      </c>
      <c r="L33" s="154">
        <f>E33*H33</f>
        <v>360</v>
      </c>
      <c r="M33" s="153"/>
      <c r="Q33" s="1"/>
      <c r="R33" s="1"/>
    </row>
    <row r="34" spans="1:18" ht="12" customHeight="1">
      <c r="A34" s="122">
        <v>34</v>
      </c>
      <c r="B34" s="35"/>
      <c r="C34" s="54"/>
      <c r="D34" s="54"/>
      <c r="E34" s="54"/>
      <c r="F34" s="54"/>
      <c r="G34" s="54"/>
      <c r="H34" s="54"/>
      <c r="I34" s="36"/>
      <c r="J34" s="5"/>
      <c r="K34" s="95"/>
      <c r="L34" s="7"/>
      <c r="M34" s="129"/>
      <c r="Q34" s="1"/>
      <c r="R34" s="1"/>
    </row>
    <row r="35" spans="1:18" ht="12" customHeight="1">
      <c r="A35" s="122">
        <v>35</v>
      </c>
      <c r="B35" s="54"/>
      <c r="C35" s="54"/>
      <c r="D35" s="29"/>
      <c r="E35" s="5"/>
      <c r="F35" s="36"/>
      <c r="G35" s="7"/>
      <c r="H35" s="36"/>
      <c r="I35" s="36"/>
      <c r="J35" s="5"/>
      <c r="K35" s="95"/>
      <c r="L35" s="27"/>
      <c r="M35" s="129"/>
      <c r="Q35" s="1"/>
      <c r="R35" s="1"/>
    </row>
    <row r="36" spans="1:18" ht="12" customHeight="1">
      <c r="A36" s="122">
        <v>36</v>
      </c>
      <c r="B36" s="35"/>
      <c r="C36" s="7"/>
      <c r="D36" s="36"/>
      <c r="E36" s="7"/>
      <c r="F36" s="102" t="s">
        <v>99</v>
      </c>
      <c r="G36" s="5" t="s">
        <v>38</v>
      </c>
      <c r="H36" s="47" t="s">
        <v>39</v>
      </c>
      <c r="I36" s="47" t="s">
        <v>120</v>
      </c>
      <c r="J36" s="5"/>
      <c r="K36" s="146"/>
      <c r="L36" s="146"/>
      <c r="M36" s="137"/>
      <c r="Q36" s="1"/>
      <c r="R36" s="1"/>
    </row>
    <row r="37" spans="1:18" ht="12" customHeight="1">
      <c r="A37" s="122">
        <v>37</v>
      </c>
      <c r="B37" s="47"/>
      <c r="C37" s="47"/>
      <c r="D37" s="52"/>
      <c r="E37" s="52"/>
      <c r="F37" s="30" t="s">
        <v>0</v>
      </c>
      <c r="G37" s="47">
        <f>C48-M48</f>
        <v>0.20128773530824695</v>
      </c>
      <c r="H37" s="47">
        <f>C49-M49</f>
        <v>0.2948664701607071</v>
      </c>
      <c r="I37" s="47">
        <f>C50-M50</f>
        <v>-0.23506418848167043</v>
      </c>
      <c r="J37" s="5"/>
      <c r="K37" s="155"/>
      <c r="L37" s="155"/>
      <c r="M37" s="124"/>
      <c r="Q37" s="1"/>
      <c r="R37" s="1"/>
    </row>
    <row r="38" spans="1:18" ht="12" customHeight="1">
      <c r="A38" s="122">
        <v>38</v>
      </c>
      <c r="B38" s="135" t="s">
        <v>40</v>
      </c>
      <c r="C38" s="25"/>
      <c r="D38" s="29"/>
      <c r="E38" s="5"/>
      <c r="F38" s="30" t="s">
        <v>133</v>
      </c>
      <c r="G38" s="36">
        <f>(G37/M48)*100</f>
        <v>9.585130252773665</v>
      </c>
      <c r="H38" s="36">
        <f>(H37/M49)*100</f>
        <v>12.075484016105147</v>
      </c>
      <c r="I38" s="36">
        <f>(I37/M50)*100</f>
        <v>18.864492967913634</v>
      </c>
      <c r="J38" s="146"/>
      <c r="K38" s="155"/>
      <c r="L38" s="53" t="s">
        <v>41</v>
      </c>
      <c r="M38" s="139"/>
      <c r="Q38" s="1"/>
      <c r="R38" s="1"/>
    </row>
    <row r="39" spans="1:18" ht="12" customHeight="1">
      <c r="A39" s="122">
        <v>39</v>
      </c>
      <c r="B39" s="29" t="s">
        <v>42</v>
      </c>
      <c r="C39" s="55">
        <f>D87</f>
        <v>12983.343905468588</v>
      </c>
      <c r="D39" s="29"/>
      <c r="E39" s="5"/>
      <c r="F39" s="36"/>
      <c r="G39" s="7"/>
      <c r="H39" s="156"/>
      <c r="I39" s="157"/>
      <c r="J39" s="146"/>
      <c r="K39" s="146"/>
      <c r="L39" s="29" t="s">
        <v>43</v>
      </c>
      <c r="M39" s="140">
        <f>J55</f>
        <v>11547.005383792517</v>
      </c>
      <c r="Q39" s="1"/>
      <c r="R39" s="1"/>
    </row>
    <row r="40" spans="1:18" ht="12" customHeight="1">
      <c r="A40" s="122">
        <v>40</v>
      </c>
      <c r="B40" s="29" t="s">
        <v>44</v>
      </c>
      <c r="C40" s="47">
        <f>E87</f>
        <v>2.4101054451383375</v>
      </c>
      <c r="D40" s="29"/>
      <c r="E40" s="5"/>
      <c r="F40" s="36"/>
      <c r="G40" s="7"/>
      <c r="H40" s="36"/>
      <c r="I40" s="36"/>
      <c r="J40" s="5"/>
      <c r="K40" s="95"/>
      <c r="L40" s="30" t="s">
        <v>44</v>
      </c>
      <c r="M40" s="138">
        <f>K55</f>
        <v>0</v>
      </c>
      <c r="Q40" s="1"/>
      <c r="R40" s="1"/>
    </row>
    <row r="41" spans="1:18" ht="12" customHeight="1">
      <c r="A41" s="122">
        <v>41</v>
      </c>
      <c r="B41" s="29" t="s">
        <v>45</v>
      </c>
      <c r="C41" s="36">
        <f>C39*1.73205</f>
        <v>22487.80081146687</v>
      </c>
      <c r="D41" s="29"/>
      <c r="E41" s="5"/>
      <c r="F41" s="36"/>
      <c r="G41" s="7"/>
      <c r="H41" s="36"/>
      <c r="I41" s="36"/>
      <c r="J41" s="29"/>
      <c r="K41" s="95"/>
      <c r="L41" s="29" t="s">
        <v>46</v>
      </c>
      <c r="M41" s="127">
        <f>M39*1.73205</f>
        <v>19999.99067499783</v>
      </c>
      <c r="Q41" s="1"/>
      <c r="R41" s="1"/>
    </row>
    <row r="42" spans="1:18" ht="12" customHeight="1">
      <c r="A42" s="122">
        <v>42</v>
      </c>
      <c r="B42" s="54"/>
      <c r="C42" s="36"/>
      <c r="D42" s="29"/>
      <c r="E42" s="5"/>
      <c r="F42" s="36"/>
      <c r="G42" s="7"/>
      <c r="H42" s="36"/>
      <c r="I42" s="36"/>
      <c r="J42" s="56"/>
      <c r="K42" s="95"/>
      <c r="L42" s="27"/>
      <c r="M42" s="124"/>
      <c r="Q42" s="1"/>
      <c r="R42" s="1"/>
    </row>
    <row r="43" spans="1:18" ht="12" customHeight="1">
      <c r="A43" s="122">
        <v>43</v>
      </c>
      <c r="B43" s="29" t="s">
        <v>47</v>
      </c>
      <c r="C43" s="58">
        <f>J86</f>
        <v>210.78752555605314</v>
      </c>
      <c r="D43" s="29"/>
      <c r="E43" s="5"/>
      <c r="F43" s="36"/>
      <c r="G43" s="7"/>
      <c r="H43" s="36"/>
      <c r="I43" s="36"/>
      <c r="J43" s="56"/>
      <c r="K43" s="95"/>
      <c r="L43" s="29" t="s">
        <v>7</v>
      </c>
      <c r="M43" s="141">
        <f>J80</f>
        <v>211.47131952875824</v>
      </c>
      <c r="Q43" s="1"/>
      <c r="R43" s="1"/>
    </row>
    <row r="44" spans="1:18" ht="12" customHeight="1">
      <c r="A44" s="122">
        <v>44</v>
      </c>
      <c r="B44" s="29" t="s">
        <v>44</v>
      </c>
      <c r="C44" s="7">
        <f>K87</f>
        <v>-32.76572387305336</v>
      </c>
      <c r="D44" s="29"/>
      <c r="E44" s="5"/>
      <c r="F44" s="36"/>
      <c r="G44" s="7"/>
      <c r="H44" s="36"/>
      <c r="I44" s="36"/>
      <c r="J44" s="57"/>
      <c r="K44" s="95"/>
      <c r="L44" s="29" t="s">
        <v>44</v>
      </c>
      <c r="M44" s="138">
        <f>D7</f>
        <v>-30.683417108975817</v>
      </c>
      <c r="Q44" s="1"/>
      <c r="R44" s="1"/>
    </row>
    <row r="45" spans="1:18" ht="12" customHeight="1">
      <c r="A45" s="122">
        <v>45</v>
      </c>
      <c r="B45" s="29" t="s">
        <v>48</v>
      </c>
      <c r="C45" s="32">
        <f>D88</f>
        <v>0.8408905198557312</v>
      </c>
      <c r="D45" s="29"/>
      <c r="E45" s="5"/>
      <c r="F45" s="36"/>
      <c r="G45" s="7"/>
      <c r="H45" s="36"/>
      <c r="I45" s="36"/>
      <c r="J45" s="32"/>
      <c r="K45" s="95"/>
      <c r="L45" s="29" t="s">
        <v>4</v>
      </c>
      <c r="M45" s="142">
        <f>C8</f>
        <v>0.86</v>
      </c>
      <c r="Q45" s="1"/>
      <c r="R45" s="1"/>
    </row>
    <row r="46" spans="1:18" ht="12" customHeight="1">
      <c r="A46" s="122">
        <v>46</v>
      </c>
      <c r="B46" s="29" t="s">
        <v>49</v>
      </c>
      <c r="C46" s="5">
        <f>SIN(C44/180*PI())</f>
        <v>-0.5412052601525212</v>
      </c>
      <c r="D46" s="29"/>
      <c r="E46" s="5"/>
      <c r="F46" s="36"/>
      <c r="G46" s="7"/>
      <c r="H46" s="36"/>
      <c r="I46" s="36"/>
      <c r="J46" s="47"/>
      <c r="K46" s="95"/>
      <c r="L46" s="29" t="s">
        <v>50</v>
      </c>
      <c r="M46" s="123">
        <f>SIN(D7/180*PI())</f>
        <v>-0.5102940328869229</v>
      </c>
      <c r="Q46" s="1"/>
      <c r="R46" s="1"/>
    </row>
    <row r="47" spans="1:18" ht="12" customHeight="1">
      <c r="A47" s="122">
        <v>47</v>
      </c>
      <c r="B47" s="54"/>
      <c r="C47" s="54"/>
      <c r="D47" s="29"/>
      <c r="E47" s="5"/>
      <c r="F47" s="109"/>
      <c r="G47" s="7"/>
      <c r="H47" s="143"/>
      <c r="I47" s="36"/>
      <c r="J47" s="5"/>
      <c r="K47" s="95"/>
      <c r="L47" s="27"/>
      <c r="M47" s="129"/>
      <c r="Q47" s="1"/>
      <c r="R47" s="1"/>
    </row>
    <row r="48" spans="1:18" ht="12" customHeight="1">
      <c r="A48" s="122">
        <v>48</v>
      </c>
      <c r="B48" s="29" t="s">
        <v>38</v>
      </c>
      <c r="C48" s="47">
        <f>C39*C43*C45/1000000</f>
        <v>2.301287735308247</v>
      </c>
      <c r="D48" s="29"/>
      <c r="E48" s="5"/>
      <c r="F48" s="109"/>
      <c r="G48" s="7"/>
      <c r="H48" s="143"/>
      <c r="I48" s="36"/>
      <c r="J48" s="59"/>
      <c r="K48" s="95"/>
      <c r="L48" s="29" t="s">
        <v>38</v>
      </c>
      <c r="M48" s="124">
        <f>M39*M43*M45/1000000</f>
        <v>2.1</v>
      </c>
      <c r="Q48" s="1"/>
      <c r="R48" s="1"/>
    </row>
    <row r="49" spans="1:18" ht="12" customHeight="1">
      <c r="A49" s="122">
        <v>49</v>
      </c>
      <c r="B49" s="97" t="s">
        <v>39</v>
      </c>
      <c r="C49" s="47">
        <f>C39*C43/1000000</f>
        <v>2.7367269352769865</v>
      </c>
      <c r="D49" s="29"/>
      <c r="E49" s="5"/>
      <c r="F49" s="109"/>
      <c r="G49" s="7"/>
      <c r="H49" s="143"/>
      <c r="I49" s="36"/>
      <c r="J49" s="59"/>
      <c r="K49" s="95"/>
      <c r="L49" s="97" t="s">
        <v>39</v>
      </c>
      <c r="M49" s="124">
        <f>M39*M43/1000000</f>
        <v>2.4418604651162794</v>
      </c>
      <c r="Q49" s="1"/>
      <c r="R49" s="1"/>
    </row>
    <row r="50" spans="1:18" ht="12" customHeight="1">
      <c r="A50" s="122">
        <v>50</v>
      </c>
      <c r="B50" s="97" t="s">
        <v>120</v>
      </c>
      <c r="C50" s="47">
        <f>C39*C43*C46/1000000</f>
        <v>-1.4811310129729938</v>
      </c>
      <c r="D50" s="29"/>
      <c r="E50" s="5"/>
      <c r="F50" s="109"/>
      <c r="G50" s="7"/>
      <c r="H50" s="143"/>
      <c r="I50" s="36"/>
      <c r="J50" s="59"/>
      <c r="K50" s="95"/>
      <c r="L50" s="97" t="s">
        <v>120</v>
      </c>
      <c r="M50" s="124">
        <f>M39*M43*M46/1000000</f>
        <v>-1.2460668244913233</v>
      </c>
      <c r="Q50" s="1"/>
      <c r="R50" s="1"/>
    </row>
    <row r="51" spans="1:18" ht="12" customHeight="1">
      <c r="A51" s="122">
        <v>51</v>
      </c>
      <c r="B51" s="54"/>
      <c r="C51" s="54"/>
      <c r="D51" s="29"/>
      <c r="E51" s="5"/>
      <c r="F51" s="36"/>
      <c r="G51" s="7"/>
      <c r="H51" s="36"/>
      <c r="I51" s="36"/>
      <c r="J51" s="5"/>
      <c r="K51" s="95"/>
      <c r="L51" s="29"/>
      <c r="M51" s="127"/>
      <c r="Q51" s="1"/>
      <c r="R51" s="1"/>
    </row>
    <row r="52" spans="1:18" ht="12" customHeight="1">
      <c r="A52" s="122">
        <v>52</v>
      </c>
      <c r="B52" s="54"/>
      <c r="C52" s="54"/>
      <c r="D52" s="29"/>
      <c r="E52" s="5"/>
      <c r="F52" s="36"/>
      <c r="G52" s="7"/>
      <c r="H52" s="36"/>
      <c r="I52" s="36"/>
      <c r="J52" s="5"/>
      <c r="K52" s="95"/>
      <c r="L52" s="27"/>
      <c r="M52" s="129"/>
      <c r="Q52" s="1"/>
      <c r="R52" s="1"/>
    </row>
    <row r="53" spans="1:18" ht="12" customHeight="1">
      <c r="A53" s="122">
        <v>53</v>
      </c>
      <c r="B53" s="132" t="s">
        <v>105</v>
      </c>
      <c r="C53" s="54"/>
      <c r="D53" s="29"/>
      <c r="E53" s="5"/>
      <c r="F53" s="36"/>
      <c r="G53" s="7"/>
      <c r="H53" s="134" t="s">
        <v>123</v>
      </c>
      <c r="I53" s="36"/>
      <c r="J53" s="5"/>
      <c r="K53" s="95"/>
      <c r="L53" s="27"/>
      <c r="M53" s="129"/>
      <c r="Q53" s="1"/>
      <c r="R53" s="1"/>
    </row>
    <row r="54" spans="1:18" ht="12" customHeight="1">
      <c r="A54" s="122">
        <v>54</v>
      </c>
      <c r="B54" s="60" t="s">
        <v>106</v>
      </c>
      <c r="C54" s="54"/>
      <c r="D54" s="54"/>
      <c r="E54" s="109" t="s">
        <v>110</v>
      </c>
      <c r="F54" s="5"/>
      <c r="G54" s="7"/>
      <c r="H54" s="36"/>
      <c r="I54" s="36"/>
      <c r="J54" s="45" t="s">
        <v>0</v>
      </c>
      <c r="K54" s="45" t="s">
        <v>44</v>
      </c>
      <c r="L54" s="110" t="s">
        <v>1</v>
      </c>
      <c r="M54" s="191" t="s">
        <v>2</v>
      </c>
      <c r="Q54" s="1"/>
      <c r="R54" s="1"/>
    </row>
    <row r="55" spans="1:18" ht="12" customHeight="1">
      <c r="A55" s="122">
        <v>55</v>
      </c>
      <c r="B55" s="54"/>
      <c r="C55" s="11" t="s">
        <v>104</v>
      </c>
      <c r="D55" s="92">
        <f>C39-M39</f>
        <v>1436.3385216760707</v>
      </c>
      <c r="E55" s="36">
        <f>(D55/J55*100)</f>
        <v>12.439056482056627</v>
      </c>
      <c r="F55" s="5"/>
      <c r="G55" s="7"/>
      <c r="H55" s="36"/>
      <c r="I55" s="144" t="s">
        <v>43</v>
      </c>
      <c r="J55" s="187">
        <f>C5*1000</f>
        <v>11547.005383792517</v>
      </c>
      <c r="K55" s="7">
        <v>0</v>
      </c>
      <c r="L55" s="36">
        <f>COS(K55/180*PI())*J55</f>
        <v>11547.005383792517</v>
      </c>
      <c r="M55" s="138">
        <f>SIN(K55/180*PI())*J55</f>
        <v>0</v>
      </c>
      <c r="Q55" s="1"/>
      <c r="R55" s="1"/>
    </row>
    <row r="56" spans="1:18" ht="12" customHeight="1">
      <c r="A56" s="122">
        <v>56</v>
      </c>
      <c r="B56" s="57" t="s">
        <v>107</v>
      </c>
      <c r="C56" s="54"/>
      <c r="D56" s="54"/>
      <c r="E56" s="109" t="s">
        <v>108</v>
      </c>
      <c r="F56" s="36"/>
      <c r="G56" s="7"/>
      <c r="H56" s="54"/>
      <c r="I56" s="145" t="s">
        <v>51</v>
      </c>
      <c r="J56" s="198">
        <f>SQRT(L56^2+M56^2)</f>
        <v>1528.2738075244224</v>
      </c>
      <c r="K56" s="7">
        <f>ATAN2(L56,M56)*180/PI()</f>
        <v>20.804695637057613</v>
      </c>
      <c r="L56" s="36">
        <f>COS((K80+L9)/180*PI())*J80*K9</f>
        <v>1428.6251143713368</v>
      </c>
      <c r="M56" s="127">
        <f>SIN((K80+L9)/180*PI())*J80*K9</f>
        <v>542.8177533506804</v>
      </c>
      <c r="Q56" s="1"/>
      <c r="R56" s="1"/>
    </row>
    <row r="57" spans="1:18" ht="12" customHeight="1">
      <c r="A57" s="122">
        <v>57</v>
      </c>
      <c r="B57" s="54"/>
      <c r="C57" s="11" t="s">
        <v>103</v>
      </c>
      <c r="D57" s="92">
        <f>J60</f>
        <v>1439.9741702928986</v>
      </c>
      <c r="E57" s="7">
        <f>(D57-D55)/D55*100</f>
        <v>0.25311920288717427</v>
      </c>
      <c r="F57" s="36"/>
      <c r="G57" s="7"/>
      <c r="H57" s="54"/>
      <c r="I57" s="30" t="s">
        <v>52</v>
      </c>
      <c r="J57" s="198">
        <f>SQRT(L57^2+M57^2)</f>
        <v>12986.979554085416</v>
      </c>
      <c r="K57" s="146">
        <f>ATAN2(L57,M57)*180/PI()</f>
        <v>2.395493802694924</v>
      </c>
      <c r="L57" s="36">
        <f>L55+L56</f>
        <v>12975.630498163853</v>
      </c>
      <c r="M57" s="127">
        <f>M55+M56</f>
        <v>542.8177533506804</v>
      </c>
      <c r="Q57" s="1"/>
      <c r="R57" s="1"/>
    </row>
    <row r="58" spans="1:18" ht="12" customHeight="1">
      <c r="A58" s="212">
        <v>58</v>
      </c>
      <c r="B58" s="213"/>
      <c r="C58" s="213"/>
      <c r="D58" s="111"/>
      <c r="E58" s="42"/>
      <c r="F58" s="110"/>
      <c r="G58" s="45"/>
      <c r="H58" s="110"/>
      <c r="I58" s="110"/>
      <c r="J58" s="42"/>
      <c r="K58" s="214"/>
      <c r="L58" s="96"/>
      <c r="M58" s="216"/>
      <c r="Q58" s="1"/>
      <c r="R58" s="1"/>
    </row>
    <row r="59" spans="1:18" ht="12" customHeight="1">
      <c r="A59" s="215">
        <v>59</v>
      </c>
      <c r="B59" s="178" t="s">
        <v>124</v>
      </c>
      <c r="C59" s="179"/>
      <c r="D59" s="200"/>
      <c r="E59" s="199"/>
      <c r="F59" s="199"/>
      <c r="G59" s="40"/>
      <c r="H59" s="33"/>
      <c r="I59" s="33"/>
      <c r="J59" s="34"/>
      <c r="K59" s="209"/>
      <c r="L59" s="210"/>
      <c r="M59" s="211"/>
      <c r="Q59" s="1"/>
      <c r="R59" s="1"/>
    </row>
    <row r="60" spans="1:18" ht="12" customHeight="1">
      <c r="A60" s="122">
        <v>60</v>
      </c>
      <c r="B60" s="57"/>
      <c r="C60" s="54"/>
      <c r="D60" s="144" t="s">
        <v>140</v>
      </c>
      <c r="E60" s="35" t="s">
        <v>137</v>
      </c>
      <c r="F60" s="35" t="s">
        <v>138</v>
      </c>
      <c r="G60" s="7"/>
      <c r="H60" s="134"/>
      <c r="I60" s="30" t="s">
        <v>109</v>
      </c>
      <c r="J60" s="92">
        <f>J57-J55</f>
        <v>1439.9741702928986</v>
      </c>
      <c r="K60" s="7" t="s">
        <v>53</v>
      </c>
      <c r="L60" s="47" t="s">
        <v>53</v>
      </c>
      <c r="M60" s="123" t="s">
        <v>53</v>
      </c>
      <c r="Q60" s="1"/>
      <c r="R60" s="1"/>
    </row>
    <row r="61" spans="1:18" ht="12" customHeight="1">
      <c r="A61" s="122">
        <v>61</v>
      </c>
      <c r="B61" s="97"/>
      <c r="C61" s="11" t="s">
        <v>111</v>
      </c>
      <c r="D61" s="92">
        <f>E61+F61</f>
        <v>1428.625114371337</v>
      </c>
      <c r="E61" s="36">
        <f>J3*L80</f>
        <v>818.3940065762945</v>
      </c>
      <c r="F61" s="36">
        <f>J6*ABS(M80)*-G2</f>
        <v>610.2311077950425</v>
      </c>
      <c r="G61" s="125"/>
      <c r="H61" s="125"/>
      <c r="I61" s="125"/>
      <c r="J61" s="125"/>
      <c r="K61" s="125"/>
      <c r="L61" s="125"/>
      <c r="M61" s="123"/>
      <c r="Q61" s="1"/>
      <c r="R61" s="1"/>
    </row>
    <row r="62" spans="1:18" ht="12" customHeight="1">
      <c r="A62" s="122">
        <v>62</v>
      </c>
      <c r="B62" s="97"/>
      <c r="C62" s="11"/>
      <c r="D62" s="55"/>
      <c r="E62" s="36"/>
      <c r="F62" s="36"/>
      <c r="G62" s="125"/>
      <c r="H62" s="125"/>
      <c r="I62" s="125"/>
      <c r="J62" s="125"/>
      <c r="K62" s="125"/>
      <c r="L62" s="125"/>
      <c r="M62" s="123"/>
      <c r="Q62" s="1"/>
      <c r="R62" s="1"/>
    </row>
    <row r="63" spans="1:18" ht="12" customHeight="1">
      <c r="A63" s="122">
        <v>63</v>
      </c>
      <c r="B63" s="97"/>
      <c r="C63" s="11"/>
      <c r="D63" s="55"/>
      <c r="E63" s="36"/>
      <c r="F63" s="36"/>
      <c r="G63" s="125"/>
      <c r="H63" s="125"/>
      <c r="I63" s="125"/>
      <c r="J63" s="125"/>
      <c r="K63" s="125"/>
      <c r="L63" s="125"/>
      <c r="M63" s="123"/>
      <c r="Q63" s="1"/>
      <c r="R63" s="1"/>
    </row>
    <row r="64" spans="1:18" ht="12" customHeight="1">
      <c r="A64" s="122">
        <v>64</v>
      </c>
      <c r="B64" s="186" t="s">
        <v>134</v>
      </c>
      <c r="C64" s="188"/>
      <c r="D64" s="115"/>
      <c r="E64" s="114"/>
      <c r="F64" s="116"/>
      <c r="G64" s="117"/>
      <c r="H64" s="116"/>
      <c r="I64" s="116"/>
      <c r="J64" s="114"/>
      <c r="K64" s="189"/>
      <c r="L64" s="190"/>
      <c r="M64" s="160"/>
      <c r="Q64" s="1"/>
      <c r="R64" s="1"/>
    </row>
    <row r="65" spans="1:18" ht="12" customHeight="1">
      <c r="A65" s="122">
        <v>65</v>
      </c>
      <c r="B65" s="125"/>
      <c r="C65" s="25"/>
      <c r="D65" s="61"/>
      <c r="E65" s="61"/>
      <c r="F65" s="187"/>
      <c r="G65" s="52"/>
      <c r="H65" s="36"/>
      <c r="I65" s="55"/>
      <c r="J65" s="47"/>
      <c r="K65" s="7" t="s">
        <v>128</v>
      </c>
      <c r="L65" s="5" t="s">
        <v>129</v>
      </c>
      <c r="M65" s="129"/>
      <c r="Q65" s="1"/>
      <c r="R65" s="1"/>
    </row>
    <row r="66" spans="1:18" ht="12" customHeight="1">
      <c r="A66" s="122">
        <v>66</v>
      </c>
      <c r="B66" s="60" t="s">
        <v>54</v>
      </c>
      <c r="C66" s="25"/>
      <c r="D66" s="62" t="s">
        <v>55</v>
      </c>
      <c r="E66" s="63" t="s">
        <v>56</v>
      </c>
      <c r="F66" s="63" t="s">
        <v>57</v>
      </c>
      <c r="G66" s="64" t="s">
        <v>58</v>
      </c>
      <c r="H66" s="65" t="s">
        <v>59</v>
      </c>
      <c r="I66" s="66" t="s">
        <v>60</v>
      </c>
      <c r="J66" s="66" t="s">
        <v>61</v>
      </c>
      <c r="K66" s="67" t="s">
        <v>62</v>
      </c>
      <c r="L66" s="68" t="s">
        <v>63</v>
      </c>
      <c r="M66" s="161" t="s">
        <v>130</v>
      </c>
      <c r="Q66" s="1"/>
      <c r="R66" s="1"/>
    </row>
    <row r="67" spans="1:18" ht="12" customHeight="1">
      <c r="A67" s="122">
        <v>67</v>
      </c>
      <c r="B67" s="25"/>
      <c r="C67" s="25"/>
      <c r="D67" s="70">
        <f>SQRT(0.5*(M68+G71))</f>
        <v>0.0005957225723433047</v>
      </c>
      <c r="E67" s="5">
        <f>D67*H33</f>
        <v>0.02680751575544871</v>
      </c>
      <c r="F67" s="61">
        <f>E67*180/PI()</f>
        <v>1.5359575120176698</v>
      </c>
      <c r="G67" s="64" t="s">
        <v>64</v>
      </c>
      <c r="H67" s="67" t="s">
        <v>65</v>
      </c>
      <c r="I67" s="64" t="s">
        <v>66</v>
      </c>
      <c r="J67" s="64" t="s">
        <v>64</v>
      </c>
      <c r="K67" s="67" t="s">
        <v>67</v>
      </c>
      <c r="L67" s="69" t="s">
        <v>68</v>
      </c>
      <c r="M67" s="161" t="s">
        <v>64</v>
      </c>
      <c r="Q67" s="1"/>
      <c r="R67" s="1"/>
    </row>
    <row r="68" spans="1:18" ht="12" customHeight="1">
      <c r="A68" s="122">
        <v>68</v>
      </c>
      <c r="B68" s="25"/>
      <c r="C68" s="25"/>
      <c r="D68" s="29"/>
      <c r="E68" s="34"/>
      <c r="F68" s="33"/>
      <c r="G68" s="71">
        <f>B33*F33*0.000000001</f>
        <v>1E-08</v>
      </c>
      <c r="H68" s="69">
        <f>PI()*2*50*C33*0.001</f>
        <v>0.12566370614359174</v>
      </c>
      <c r="I68" s="64">
        <f>PI()*2*50*E33</f>
        <v>2513.2741228718346</v>
      </c>
      <c r="J68" s="72">
        <f>(PI()*2*50)^2*C33*E33*0.000000000001</f>
        <v>3.158273408348595E-07</v>
      </c>
      <c r="K68" s="72">
        <f>B33^2+H68^2</f>
        <v>0.025791367041742976</v>
      </c>
      <c r="L68" s="72">
        <f>F33^2*0.000000001^2+I68^2*0.000000001^2</f>
        <v>6.32654681669719E-12</v>
      </c>
      <c r="M68" s="162">
        <f>SQRT(K68*L68)</f>
        <v>4.039434255637884E-07</v>
      </c>
      <c r="Q68" s="1"/>
      <c r="R68" s="1"/>
    </row>
    <row r="69" spans="1:18" ht="12" customHeight="1">
      <c r="A69" s="122">
        <v>69</v>
      </c>
      <c r="B69" s="25"/>
      <c r="C69" s="25"/>
      <c r="D69" s="144"/>
      <c r="E69" s="47"/>
      <c r="F69" s="36"/>
      <c r="G69" s="7"/>
      <c r="H69" s="36"/>
      <c r="I69" s="36"/>
      <c r="J69" s="163"/>
      <c r="K69" s="7"/>
      <c r="L69" s="163"/>
      <c r="M69" s="164"/>
      <c r="Q69" s="1"/>
      <c r="R69" s="1"/>
    </row>
    <row r="70" spans="1:18" ht="12" customHeight="1">
      <c r="A70" s="122">
        <v>70</v>
      </c>
      <c r="B70" s="60" t="s">
        <v>69</v>
      </c>
      <c r="C70" s="25"/>
      <c r="D70" s="62" t="s">
        <v>70</v>
      </c>
      <c r="E70" s="73" t="s">
        <v>71</v>
      </c>
      <c r="F70" s="36"/>
      <c r="G70" s="74" t="s">
        <v>72</v>
      </c>
      <c r="H70" s="64" t="s">
        <v>73</v>
      </c>
      <c r="I70" s="64" t="s">
        <v>74</v>
      </c>
      <c r="J70" s="75" t="s">
        <v>75</v>
      </c>
      <c r="K70" s="76"/>
      <c r="L70" s="77" t="s">
        <v>76</v>
      </c>
      <c r="M70" s="165" t="s">
        <v>77</v>
      </c>
      <c r="Q70" s="1"/>
      <c r="R70" s="1"/>
    </row>
    <row r="71" spans="1:18" ht="12" customHeight="1">
      <c r="A71" s="122">
        <v>71</v>
      </c>
      <c r="B71" s="25"/>
      <c r="C71" s="25"/>
      <c r="D71" s="70">
        <f>J71/(2*D67)</f>
        <v>0.00022149050174773737</v>
      </c>
      <c r="E71" s="78">
        <f>D71*H33</f>
        <v>0.009967072578648182</v>
      </c>
      <c r="F71" s="36"/>
      <c r="G71" s="72">
        <f>-G68+J68</f>
        <v>3.058273408348595E-07</v>
      </c>
      <c r="H71" s="64" t="s">
        <v>64</v>
      </c>
      <c r="I71" s="64" t="s">
        <v>64</v>
      </c>
      <c r="J71" s="79">
        <f>H72+I72</f>
        <v>2.6389378290154266E-07</v>
      </c>
      <c r="K71" s="80" t="s">
        <v>78</v>
      </c>
      <c r="L71" s="81">
        <f>H68/B33</f>
        <v>1.2566370614359172</v>
      </c>
      <c r="M71" s="166">
        <f>I68/F33</f>
        <v>25.132741228718345</v>
      </c>
      <c r="Q71" s="1"/>
      <c r="R71" s="1"/>
    </row>
    <row r="72" spans="1:18" ht="12" customHeight="1">
      <c r="A72" s="122">
        <v>72</v>
      </c>
      <c r="B72" s="25"/>
      <c r="C72" s="25"/>
      <c r="D72" s="29"/>
      <c r="E72" s="5"/>
      <c r="F72" s="36"/>
      <c r="G72" s="72"/>
      <c r="H72" s="72">
        <f>B33*I68*0.000000001</f>
        <v>2.513274122871835E-07</v>
      </c>
      <c r="I72" s="72">
        <f>F33*0.000000001*H68</f>
        <v>1.2566370614359174E-08</v>
      </c>
      <c r="J72" s="69"/>
      <c r="K72" s="80" t="s">
        <v>79</v>
      </c>
      <c r="L72" s="67">
        <f>ATAN(L71)*180/PI()</f>
        <v>51.48811274603342</v>
      </c>
      <c r="M72" s="166">
        <f>ATAN(M71)*180/PI()</f>
        <v>87.721475271378</v>
      </c>
      <c r="Q72" s="1"/>
      <c r="R72" s="1"/>
    </row>
    <row r="73" spans="1:18" ht="12" customHeight="1">
      <c r="A73" s="122">
        <v>73</v>
      </c>
      <c r="B73" s="25"/>
      <c r="C73" s="25"/>
      <c r="D73" s="144"/>
      <c r="E73" s="163"/>
      <c r="F73" s="54"/>
      <c r="G73" s="167"/>
      <c r="H73" s="55"/>
      <c r="I73" s="54"/>
      <c r="J73" s="168"/>
      <c r="K73" s="95"/>
      <c r="L73" s="27"/>
      <c r="M73" s="164"/>
      <c r="Q73" s="1"/>
      <c r="R73" s="1"/>
    </row>
    <row r="74" spans="1:18" ht="12" customHeight="1">
      <c r="A74" s="122">
        <v>74</v>
      </c>
      <c r="B74" s="169" t="s">
        <v>80</v>
      </c>
      <c r="C74" s="125"/>
      <c r="D74" s="82" t="s">
        <v>81</v>
      </c>
      <c r="E74" s="73" t="s">
        <v>82</v>
      </c>
      <c r="F74" s="36"/>
      <c r="G74" s="83" t="s">
        <v>83</v>
      </c>
      <c r="H74" s="170">
        <f>SINH(E71)</f>
        <v>0.009967237605178647</v>
      </c>
      <c r="I74" s="84" t="s">
        <v>84</v>
      </c>
      <c r="J74" s="5">
        <f>SIN(F67/180*PI())</f>
        <v>0.026804305032337297</v>
      </c>
      <c r="K74" s="85" t="s">
        <v>85</v>
      </c>
      <c r="L74" s="170">
        <f>H74*J75</f>
        <v>0.009963656377381351</v>
      </c>
      <c r="M74" s="171">
        <f>H75*J74</f>
        <v>0.026805636447175395</v>
      </c>
      <c r="Q74" s="1"/>
      <c r="R74" s="1"/>
    </row>
    <row r="75" spans="1:18" ht="12" customHeight="1">
      <c r="A75" s="122">
        <v>75</v>
      </c>
      <c r="B75" s="125"/>
      <c r="C75" s="125"/>
      <c r="D75" s="86">
        <f>SQRT(SQRT(K68/L68))</f>
        <v>252.68351463002784</v>
      </c>
      <c r="E75" s="201">
        <f>0.5*(L72-M72)</f>
        <v>-18.116681262672287</v>
      </c>
      <c r="F75" s="36"/>
      <c r="G75" s="83" t="s">
        <v>86</v>
      </c>
      <c r="H75" s="170">
        <f>COSH(E71)</f>
        <v>1.0000496716791012</v>
      </c>
      <c r="I75" s="84" t="s">
        <v>87</v>
      </c>
      <c r="J75" s="5">
        <f>COS(F67/180*PI())</f>
        <v>0.999640700067646</v>
      </c>
      <c r="K75" s="85" t="s">
        <v>88</v>
      </c>
      <c r="L75" s="170">
        <f>H75*J75</f>
        <v>0.9996903538997163</v>
      </c>
      <c r="M75" s="171">
        <f>H74*J74</f>
        <v>0.00026716487709899155</v>
      </c>
      <c r="Q75" s="1"/>
      <c r="R75" s="1"/>
    </row>
    <row r="76" spans="1:18" ht="12" customHeight="1">
      <c r="A76" s="122">
        <v>76</v>
      </c>
      <c r="B76" s="125"/>
      <c r="C76" s="125"/>
      <c r="D76" s="29"/>
      <c r="E76" s="5"/>
      <c r="F76" s="36"/>
      <c r="G76" s="7"/>
      <c r="H76" s="36"/>
      <c r="I76" s="36"/>
      <c r="J76" s="5"/>
      <c r="K76" s="95"/>
      <c r="L76" s="125"/>
      <c r="M76" s="164"/>
      <c r="Q76" s="1"/>
      <c r="R76" s="1"/>
    </row>
    <row r="77" spans="1:18" ht="12" customHeight="1">
      <c r="A77" s="122">
        <v>77</v>
      </c>
      <c r="B77" s="54"/>
      <c r="C77" s="54"/>
      <c r="D77" s="202" t="s">
        <v>141</v>
      </c>
      <c r="E77" s="203"/>
      <c r="F77" s="204"/>
      <c r="G77" s="205"/>
      <c r="H77" s="36"/>
      <c r="I77" s="36"/>
      <c r="J77" s="202" t="s">
        <v>142</v>
      </c>
      <c r="K77" s="206"/>
      <c r="L77" s="207"/>
      <c r="M77" s="208"/>
      <c r="Q77" s="1"/>
      <c r="R77" s="1"/>
    </row>
    <row r="78" spans="1:18" ht="12" customHeight="1">
      <c r="A78" s="122">
        <v>78</v>
      </c>
      <c r="B78" s="54"/>
      <c r="C78" s="54"/>
      <c r="D78" s="29"/>
      <c r="E78" s="5"/>
      <c r="F78" s="36"/>
      <c r="G78" s="7"/>
      <c r="H78" s="36"/>
      <c r="I78" s="36"/>
      <c r="J78" s="5"/>
      <c r="K78" s="95"/>
      <c r="L78" s="27"/>
      <c r="M78" s="129"/>
      <c r="Q78" s="1"/>
      <c r="R78" s="1"/>
    </row>
    <row r="79" spans="1:18" ht="12" customHeight="1">
      <c r="A79" s="122">
        <v>79</v>
      </c>
      <c r="B79" s="25"/>
      <c r="C79" s="125"/>
      <c r="D79" s="45" t="s">
        <v>0</v>
      </c>
      <c r="E79" s="45" t="s">
        <v>44</v>
      </c>
      <c r="F79" s="110" t="s">
        <v>1</v>
      </c>
      <c r="G79" s="45" t="s">
        <v>2</v>
      </c>
      <c r="H79" s="36"/>
      <c r="I79" s="60"/>
      <c r="J79" s="45" t="s">
        <v>0</v>
      </c>
      <c r="K79" s="45" t="s">
        <v>44</v>
      </c>
      <c r="L79" s="110" t="s">
        <v>1</v>
      </c>
      <c r="M79" s="191" t="s">
        <v>2</v>
      </c>
      <c r="Q79" s="1"/>
      <c r="R79" s="1"/>
    </row>
    <row r="80" spans="1:18" ht="12" customHeight="1">
      <c r="A80" s="122">
        <v>80</v>
      </c>
      <c r="B80" s="25"/>
      <c r="C80" s="172" t="s">
        <v>115</v>
      </c>
      <c r="D80" s="5">
        <f>SQRT(F80^2+G80^2)</f>
        <v>0.9996903895993057</v>
      </c>
      <c r="E80" s="7">
        <f>ATAN2(F80,G80)*180/PI()</f>
        <v>0.015312160878381229</v>
      </c>
      <c r="F80" s="5">
        <f>L75</f>
        <v>0.9996903538997163</v>
      </c>
      <c r="G80" s="5">
        <f>M75</f>
        <v>0.00026716487709899155</v>
      </c>
      <c r="H80" s="36"/>
      <c r="I80" s="30" t="s">
        <v>89</v>
      </c>
      <c r="J80" s="52">
        <f>G9</f>
        <v>211.47131952875824</v>
      </c>
      <c r="K80" s="7">
        <f>D7</f>
        <v>-30.683417108975817</v>
      </c>
      <c r="L80" s="7">
        <f>F82</f>
        <v>181.86533479473212</v>
      </c>
      <c r="M80" s="138">
        <f>G82</f>
        <v>-107.91255248224914</v>
      </c>
      <c r="Q80" s="1"/>
      <c r="R80" s="1"/>
    </row>
    <row r="81" spans="1:18" ht="12" customHeight="1">
      <c r="A81" s="122">
        <v>81</v>
      </c>
      <c r="B81" s="25"/>
      <c r="C81" s="173" t="s">
        <v>114</v>
      </c>
      <c r="D81" s="36">
        <f>SQRT(F81^2+G81^2)</f>
        <v>11543.430310828822</v>
      </c>
      <c r="E81" s="7">
        <f>ATAN2(F81,G81)*180/PI()</f>
        <v>0.015312160878381229</v>
      </c>
      <c r="F81" s="36">
        <f>COS((K55+E80)/180*PI())*J55*D80</f>
        <v>11543.429898605471</v>
      </c>
      <c r="G81" s="7">
        <f>SIN((K55+E80)/180*PI())*J55*D80</f>
        <v>3.084954274222322</v>
      </c>
      <c r="H81" s="36"/>
      <c r="I81" s="128" t="s">
        <v>113</v>
      </c>
      <c r="J81" s="7">
        <f>SQRT(L81^2+M81^2)</f>
        <v>211.4058458087836</v>
      </c>
      <c r="K81" s="7">
        <f>ATAN2(L81,M81)*180/PI()</f>
        <v>-30.668104948097426</v>
      </c>
      <c r="L81" s="7">
        <f>COS((K80+E80)/180*PI())*J80*D80</f>
        <v>181.8378513468575</v>
      </c>
      <c r="M81" s="138">
        <f>SIN((K80+E80)/180*PI())*J80*D80</f>
        <v>-107.83054975138234</v>
      </c>
      <c r="Q81" s="1"/>
      <c r="R81" s="1"/>
    </row>
    <row r="82" spans="1:18" ht="12" customHeight="1">
      <c r="A82" s="122">
        <v>82</v>
      </c>
      <c r="B82" s="25"/>
      <c r="C82" s="144" t="s">
        <v>89</v>
      </c>
      <c r="D82" s="52">
        <f>G9</f>
        <v>211.47131952875824</v>
      </c>
      <c r="E82" s="7">
        <f>D7</f>
        <v>-30.683417108975817</v>
      </c>
      <c r="F82" s="7">
        <f>COS(E82/180*PI())*D82</f>
        <v>181.86533479473212</v>
      </c>
      <c r="G82" s="7">
        <f>SIN(E82/180*PI())*D82</f>
        <v>-107.91255248224914</v>
      </c>
      <c r="H82" s="36"/>
      <c r="I82" s="30" t="s">
        <v>90</v>
      </c>
      <c r="J82" s="7">
        <f>D75</f>
        <v>252.68351463002784</v>
      </c>
      <c r="K82" s="7">
        <f>E75</f>
        <v>-18.116681262672287</v>
      </c>
      <c r="L82" s="7">
        <f>COS(K82/180*PI())*J82</f>
        <v>240.15679005897854</v>
      </c>
      <c r="M82" s="138">
        <f>SIN(K82/180*PI())*J82</f>
        <v>-78.57273543889893</v>
      </c>
      <c r="Q82" s="1"/>
      <c r="R82" s="1"/>
    </row>
    <row r="83" spans="1:18" ht="12" customHeight="1">
      <c r="A83" s="122">
        <v>83</v>
      </c>
      <c r="B83" s="25"/>
      <c r="C83" s="29" t="s">
        <v>90</v>
      </c>
      <c r="D83" s="7">
        <f>D75</f>
        <v>252.68351463002784</v>
      </c>
      <c r="E83" s="7">
        <f>E75</f>
        <v>-18.116681262672287</v>
      </c>
      <c r="F83" s="7">
        <f>COS(E83/180*PI())*D83</f>
        <v>240.15679005897854</v>
      </c>
      <c r="G83" s="7">
        <f>SIN(E83/180*PI())*D83</f>
        <v>-78.57273543889893</v>
      </c>
      <c r="H83" s="36"/>
      <c r="I83" s="30" t="s">
        <v>91</v>
      </c>
      <c r="J83" s="7">
        <f>SQRT(L83^2+M83^2)</f>
        <v>45.6975018758122</v>
      </c>
      <c r="K83" s="7">
        <f>ATAN2(L83,M83)*180/PI()</f>
        <v>18.116681262672287</v>
      </c>
      <c r="L83" s="7">
        <f>COS((K55-K82)/180*PI())*J55/J82</f>
        <v>43.432059191822866</v>
      </c>
      <c r="M83" s="138">
        <f>SIN((K55-K82)/180*PI())*J55/J82</f>
        <v>14.20978226602556</v>
      </c>
      <c r="Q83" s="1"/>
      <c r="R83" s="1"/>
    </row>
    <row r="84" spans="1:18" ht="12" customHeight="1">
      <c r="A84" s="122">
        <v>84</v>
      </c>
      <c r="B84" s="25"/>
      <c r="C84" s="29" t="s">
        <v>92</v>
      </c>
      <c r="D84" s="36">
        <f>SQRT(F84^2+G84^2)</f>
        <v>53435.31626197628</v>
      </c>
      <c r="E84" s="7">
        <f>ATAN2(F84,G84)*180/PI()</f>
        <v>-48.80009837164811</v>
      </c>
      <c r="F84" s="36">
        <f>COS((E82+E83)/180*PI())*D82*D83</f>
        <v>35197.21059058026</v>
      </c>
      <c r="G84" s="36">
        <f>SIN((E82+E83)/180*PI())*D82*D83</f>
        <v>-40205.589047541274</v>
      </c>
      <c r="H84" s="36"/>
      <c r="I84" s="128" t="s">
        <v>117</v>
      </c>
      <c r="J84" s="47">
        <f>SQRT(L84^2+M84^2)</f>
        <v>1.3068339803111375</v>
      </c>
      <c r="K84" s="58">
        <f>ATAN2(L84,M84)*180/PI()</f>
        <v>87.72657848207326</v>
      </c>
      <c r="L84" s="47">
        <f>COS((K83+E85)/180*PI())*J83*D85</f>
        <v>0.05183985613280894</v>
      </c>
      <c r="M84" s="138">
        <f>SIN((K83+E85)/180*PI())*J83*D85</f>
        <v>1.305805376544292</v>
      </c>
      <c r="Q84" s="1"/>
      <c r="R84" s="1"/>
    </row>
    <row r="85" spans="1:18" ht="12" customHeight="1">
      <c r="A85" s="122">
        <v>85</v>
      </c>
      <c r="B85" s="25"/>
      <c r="C85" s="172" t="s">
        <v>116</v>
      </c>
      <c r="D85" s="5">
        <f>SQRT(F85^2+G85^2)</f>
        <v>0.028597492787737003</v>
      </c>
      <c r="E85" s="7">
        <f>ATAN2(F85,G85)*180/PI()</f>
        <v>69.60989721940096</v>
      </c>
      <c r="F85" s="5">
        <f>L74</f>
        <v>0.009963656377381351</v>
      </c>
      <c r="G85" s="5">
        <f>M74</f>
        <v>0.026805636447175395</v>
      </c>
      <c r="H85" s="36"/>
      <c r="I85" s="30" t="s">
        <v>93</v>
      </c>
      <c r="J85" s="7">
        <f>SQRT(L85^2+M85^2)</f>
        <v>54.60317460317462</v>
      </c>
      <c r="K85" s="7">
        <f>ATAN2(L85,M85)*180/PI()</f>
        <v>30.683417108975817</v>
      </c>
      <c r="L85" s="7">
        <f>COS((K55-K80)/180*PI())*J55/J80</f>
        <v>46.95873015873018</v>
      </c>
      <c r="M85" s="138">
        <f>SIN((K55-K80)/180*PI())*J55/J80</f>
        <v>27.863674176682782</v>
      </c>
      <c r="Q85" s="1"/>
      <c r="R85" s="1"/>
    </row>
    <row r="86" spans="1:18" ht="12" customHeight="1">
      <c r="A86" s="122">
        <v>86</v>
      </c>
      <c r="B86" s="25"/>
      <c r="C86" s="173" t="s">
        <v>112</v>
      </c>
      <c r="D86" s="36">
        <f>SQRT(F86^2+G86^2)</f>
        <v>1528.1160714123125</v>
      </c>
      <c r="E86" s="58">
        <f>ATAN2(F86,G86)*180/PI()</f>
        <v>20.809798847752848</v>
      </c>
      <c r="F86" s="36">
        <f>COS((E84+E85)/180*PI())*D84*D85</f>
        <v>1428.429314919798</v>
      </c>
      <c r="G86" s="36">
        <f>SIN((E84+E85)/180*PI())*D84*D85</f>
        <v>542.8889573258572</v>
      </c>
      <c r="H86" s="36"/>
      <c r="I86" s="174" t="s">
        <v>94</v>
      </c>
      <c r="J86" s="87">
        <f>SQRT(L86^2+M86^2)</f>
        <v>210.78752555605314</v>
      </c>
      <c r="K86" s="87">
        <f>ATAN2(L86,M86)*180/PI()</f>
        <v>-30.355618427915026</v>
      </c>
      <c r="L86" s="88">
        <f>L81+L84</f>
        <v>181.8896912029903</v>
      </c>
      <c r="M86" s="175">
        <f>M81+M84</f>
        <v>-106.52474437483804</v>
      </c>
      <c r="Q86" s="1"/>
      <c r="R86" s="1"/>
    </row>
    <row r="87" spans="1:18" ht="12" customHeight="1">
      <c r="A87" s="122">
        <v>87</v>
      </c>
      <c r="B87" s="25"/>
      <c r="C87" s="176" t="s">
        <v>95</v>
      </c>
      <c r="D87" s="89">
        <f>SQRT(F87^2+G87^2)</f>
        <v>12983.343905468588</v>
      </c>
      <c r="E87" s="87">
        <f>ATAN2(F87,G87)*180/PI()</f>
        <v>2.4101054451383375</v>
      </c>
      <c r="F87" s="90">
        <f>F81+F86</f>
        <v>12971.85921352527</v>
      </c>
      <c r="G87" s="90">
        <f>G81+G86</f>
        <v>545.9739116000795</v>
      </c>
      <c r="H87" s="54"/>
      <c r="I87" s="95"/>
      <c r="J87" s="56" t="s">
        <v>96</v>
      </c>
      <c r="K87" s="7">
        <f>K86-E87</f>
        <v>-32.76572387305336</v>
      </c>
      <c r="L87" s="5" t="s">
        <v>38</v>
      </c>
      <c r="M87" s="124" t="s">
        <v>120</v>
      </c>
      <c r="Q87" s="1"/>
      <c r="R87" s="1"/>
    </row>
    <row r="88" spans="1:18" ht="12" customHeight="1">
      <c r="A88" s="122">
        <v>88</v>
      </c>
      <c r="B88" s="54"/>
      <c r="C88" s="29" t="s">
        <v>97</v>
      </c>
      <c r="D88" s="5">
        <f>COS(K87/180*PI())</f>
        <v>0.8408905198557312</v>
      </c>
      <c r="E88" s="125"/>
      <c r="F88" s="125"/>
      <c r="G88" s="125"/>
      <c r="H88" s="54"/>
      <c r="I88" s="30" t="s">
        <v>98</v>
      </c>
      <c r="J88" s="61">
        <f>J86*D87/1000000</f>
        <v>2.7367269352769865</v>
      </c>
      <c r="K88" s="7">
        <f>K87</f>
        <v>-32.76572387305336</v>
      </c>
      <c r="L88" s="61">
        <f>COS(K88/180*PI())*J88</f>
        <v>2.301287735308247</v>
      </c>
      <c r="M88" s="131">
        <f>SIN(K88/180*PI())*J88</f>
        <v>-1.4811310129729935</v>
      </c>
      <c r="Q88" s="1"/>
      <c r="R88" s="1"/>
    </row>
    <row r="89" spans="1:18" ht="12" customHeight="1">
      <c r="A89" s="147">
        <v>89</v>
      </c>
      <c r="B89" s="148"/>
      <c r="C89" s="148"/>
      <c r="D89" s="158"/>
      <c r="E89" s="149"/>
      <c r="F89" s="150"/>
      <c r="G89" s="159"/>
      <c r="H89" s="149"/>
      <c r="I89" s="151"/>
      <c r="J89" s="151"/>
      <c r="K89" s="151"/>
      <c r="L89" s="151"/>
      <c r="M89" s="177"/>
      <c r="Q89" s="1"/>
      <c r="R89" s="1"/>
    </row>
    <row r="90" spans="1:18" ht="12" customHeight="1">
      <c r="A90" s="122">
        <v>90</v>
      </c>
      <c r="B90" s="54"/>
      <c r="C90" s="54"/>
      <c r="D90" s="29"/>
      <c r="E90" s="5"/>
      <c r="F90" s="36"/>
      <c r="G90" s="7"/>
      <c r="H90" s="5"/>
      <c r="I90" s="125"/>
      <c r="J90" s="125"/>
      <c r="K90" s="125"/>
      <c r="L90" s="125"/>
      <c r="M90" s="125"/>
      <c r="Q90" s="1"/>
      <c r="R90" s="1"/>
    </row>
    <row r="91" spans="2:16" ht="12.75" customHeight="1">
      <c r="B91" s="35" t="s">
        <v>21</v>
      </c>
      <c r="C91" s="7" t="s">
        <v>3</v>
      </c>
      <c r="D91" s="5" t="s">
        <v>1</v>
      </c>
      <c r="E91" s="5" t="s">
        <v>2</v>
      </c>
      <c r="F91" s="37" t="s">
        <v>101</v>
      </c>
      <c r="G91" s="7" t="s">
        <v>3</v>
      </c>
      <c r="H91" s="3" t="s">
        <v>1</v>
      </c>
      <c r="I91" s="3" t="s">
        <v>2</v>
      </c>
      <c r="J91" s="36" t="s">
        <v>20</v>
      </c>
      <c r="K91" s="7" t="s">
        <v>3</v>
      </c>
      <c r="L91" s="3" t="s">
        <v>1</v>
      </c>
      <c r="M91" s="3" t="s">
        <v>2</v>
      </c>
      <c r="N91" s="9" t="s">
        <v>100</v>
      </c>
      <c r="O91" s="18"/>
      <c r="P91" s="18"/>
    </row>
    <row r="92" spans="1:16" ht="12.75" customHeight="1">
      <c r="A92" s="16">
        <f>D92/E92</f>
        <v>1</v>
      </c>
      <c r="B92" s="19">
        <f>SQRT(D92^2+E92^2)</f>
        <v>6.363961030678928</v>
      </c>
      <c r="C92" s="21">
        <f>ATAN2(D92,E92)*180/PI()</f>
        <v>45</v>
      </c>
      <c r="D92" s="19">
        <f aca="true" t="shared" si="1" ref="D92:D123">$J$3</f>
        <v>4.5</v>
      </c>
      <c r="E92" s="19">
        <f>D92</f>
        <v>4.5</v>
      </c>
      <c r="F92" s="20">
        <f>SQRT(H92^2+I92^2)</f>
        <v>1345.7868391576728</v>
      </c>
      <c r="G92" s="21">
        <f>ATAN2(H92,I92)*180/PI()</f>
        <v>14.316582891024183</v>
      </c>
      <c r="H92" s="17">
        <f aca="true" t="shared" si="2" ref="H92:H123">COS((C92+$D$7)/180*PI())*$C$7*B92</f>
        <v>1303.9923561056892</v>
      </c>
      <c r="I92" s="17">
        <f aca="true" t="shared" si="3" ref="I92:I123">SIN((C92+$D$7)/180*PI())*$C$7*B92</f>
        <v>332.78544389431084</v>
      </c>
      <c r="J92" s="38">
        <f>SQRT(L92^2+M92^2)</f>
        <v>12855.305871994518</v>
      </c>
      <c r="K92" s="23">
        <f>ATAN2(L92,M92)*180/PI()</f>
        <v>1.4833821815006056</v>
      </c>
      <c r="L92" s="17">
        <f aca="true" t="shared" si="4" ref="L92:L123">H92+$E$5</f>
        <v>12850.997739898206</v>
      </c>
      <c r="M92" s="17">
        <f aca="true" t="shared" si="5" ref="M92:M123">I92+$F$5</f>
        <v>332.78544389431084</v>
      </c>
      <c r="N92" s="20">
        <f aca="true" t="shared" si="6" ref="N92:N123">J92-$C$5*1000</f>
        <v>1308.3004882020014</v>
      </c>
      <c r="O92" s="18"/>
      <c r="P92" s="18"/>
    </row>
    <row r="93" spans="1:16" ht="12.75" customHeight="1">
      <c r="A93" s="16">
        <f aca="true" t="shared" si="7" ref="A93:A156">D93/E93</f>
        <v>0.9803921568627452</v>
      </c>
      <c r="B93" s="19">
        <f aca="true" t="shared" si="8" ref="B93:B156">SQRT(D93^2+E93^2)</f>
        <v>6.427915680840874</v>
      </c>
      <c r="C93" s="21">
        <f aca="true" t="shared" si="9" ref="C93:C156">ATAN2(D93,E93)*180/PI()</f>
        <v>45.567266409857936</v>
      </c>
      <c r="D93" s="19">
        <f t="shared" si="1"/>
        <v>4.5</v>
      </c>
      <c r="E93" s="19">
        <f aca="true" t="shared" si="10" ref="E93:E98">E92+0.02*$E$92</f>
        <v>4.59</v>
      </c>
      <c r="F93" s="20">
        <f aca="true" t="shared" si="11" ref="F93:F156">SQRT(H93^2+I93^2)</f>
        <v>1359.3113290274196</v>
      </c>
      <c r="G93" s="21">
        <f aca="true" t="shared" si="12" ref="G93:G156">ATAN2(H93,I93)*180/PI()</f>
        <v>14.88384930088212</v>
      </c>
      <c r="H93" s="17">
        <f t="shared" si="2"/>
        <v>1313.7044252278029</v>
      </c>
      <c r="I93" s="17">
        <f t="shared" si="3"/>
        <v>349.1532218943109</v>
      </c>
      <c r="J93" s="38">
        <f aca="true" t="shared" si="13" ref="J93:J156">SQRT(L93^2+M93^2)</f>
        <v>12865.448486710078</v>
      </c>
      <c r="K93" s="23">
        <f aca="true" t="shared" si="14" ref="K93:K156">ATAN2(L93,M93)*180/PI()</f>
        <v>1.55513136763438</v>
      </c>
      <c r="L93" s="17">
        <f t="shared" si="4"/>
        <v>12860.70980902032</v>
      </c>
      <c r="M93" s="17">
        <f t="shared" si="5"/>
        <v>349.1532218943109</v>
      </c>
      <c r="N93" s="20">
        <f t="shared" si="6"/>
        <v>1318.4431029175612</v>
      </c>
      <c r="O93" s="18"/>
      <c r="P93" s="18"/>
    </row>
    <row r="94" spans="1:16" ht="12.75" customHeight="1">
      <c r="A94" s="16">
        <f t="shared" si="7"/>
        <v>0.9615384615384616</v>
      </c>
      <c r="B94" s="19">
        <f t="shared" si="8"/>
        <v>6.492487966873716</v>
      </c>
      <c r="C94" s="21">
        <f t="shared" si="9"/>
        <v>46.12330271407543</v>
      </c>
      <c r="D94" s="19">
        <f t="shared" si="1"/>
        <v>4.5</v>
      </c>
      <c r="E94" s="19">
        <f t="shared" si="10"/>
        <v>4.68</v>
      </c>
      <c r="F94" s="20">
        <f t="shared" si="11"/>
        <v>1372.9664303547847</v>
      </c>
      <c r="G94" s="21">
        <f t="shared" si="12"/>
        <v>15.439885605099613</v>
      </c>
      <c r="H94" s="17">
        <f t="shared" si="2"/>
        <v>1323.4164943499168</v>
      </c>
      <c r="I94" s="17">
        <f t="shared" si="3"/>
        <v>365.5209998943109</v>
      </c>
      <c r="J94" s="38">
        <f t="shared" si="13"/>
        <v>12875.611244625676</v>
      </c>
      <c r="K94" s="23">
        <f t="shared" si="14"/>
        <v>1.626767402268587</v>
      </c>
      <c r="L94" s="17">
        <f t="shared" si="4"/>
        <v>12870.421878142433</v>
      </c>
      <c r="M94" s="17">
        <f t="shared" si="5"/>
        <v>365.5209998943109</v>
      </c>
      <c r="N94" s="20">
        <f t="shared" si="6"/>
        <v>1328.6058608331587</v>
      </c>
      <c r="O94" s="18"/>
      <c r="P94" s="18"/>
    </row>
    <row r="95" spans="1:16" ht="12.75" customHeight="1">
      <c r="A95" s="16">
        <f t="shared" si="7"/>
        <v>0.9433962264150945</v>
      </c>
      <c r="B95" s="19">
        <f t="shared" si="8"/>
        <v>6.557659643500873</v>
      </c>
      <c r="C95" s="21">
        <f t="shared" si="9"/>
        <v>46.66833744829331</v>
      </c>
      <c r="D95" s="19">
        <f t="shared" si="1"/>
        <v>4.5</v>
      </c>
      <c r="E95" s="19">
        <f t="shared" si="10"/>
        <v>4.77</v>
      </c>
      <c r="F95" s="20">
        <f t="shared" si="11"/>
        <v>1386.7482848111295</v>
      </c>
      <c r="G95" s="21">
        <f t="shared" si="12"/>
        <v>15.984920339317489</v>
      </c>
      <c r="H95" s="17">
        <f t="shared" si="2"/>
        <v>1333.1285634720305</v>
      </c>
      <c r="I95" s="17">
        <f t="shared" si="3"/>
        <v>381.8887778943108</v>
      </c>
      <c r="J95" s="38">
        <f t="shared" si="13"/>
        <v>12885.794098081738</v>
      </c>
      <c r="K95" s="23">
        <f t="shared" si="14"/>
        <v>1.6982903294243228</v>
      </c>
      <c r="L95" s="17">
        <f t="shared" si="4"/>
        <v>12880.133947264547</v>
      </c>
      <c r="M95" s="17">
        <f t="shared" si="5"/>
        <v>381.8887778943108</v>
      </c>
      <c r="N95" s="20">
        <f t="shared" si="6"/>
        <v>1338.7887142892214</v>
      </c>
      <c r="O95" s="18"/>
      <c r="P95" s="18"/>
    </row>
    <row r="96" spans="1:16" ht="12.75" customHeight="1">
      <c r="A96" s="16">
        <f t="shared" si="7"/>
        <v>0.925925925925926</v>
      </c>
      <c r="B96" s="19">
        <f t="shared" si="8"/>
        <v>6.623413017470675</v>
      </c>
      <c r="C96" s="21">
        <f t="shared" si="9"/>
        <v>47.20259816176581</v>
      </c>
      <c r="D96" s="19">
        <f t="shared" si="1"/>
        <v>4.5</v>
      </c>
      <c r="E96" s="19">
        <f t="shared" si="10"/>
        <v>4.859999999999999</v>
      </c>
      <c r="F96" s="20">
        <f t="shared" si="11"/>
        <v>1400.6531508045236</v>
      </c>
      <c r="G96" s="21">
        <f t="shared" si="12"/>
        <v>16.519181052789996</v>
      </c>
      <c r="H96" s="17">
        <f t="shared" si="2"/>
        <v>1342.8406325941442</v>
      </c>
      <c r="I96" s="17">
        <f t="shared" si="3"/>
        <v>398.25655589431096</v>
      </c>
      <c r="J96" s="38">
        <f t="shared" si="13"/>
        <v>12895.996999475143</v>
      </c>
      <c r="K96" s="23">
        <f t="shared" si="14"/>
        <v>1.7697001943938069</v>
      </c>
      <c r="L96" s="17">
        <f t="shared" si="4"/>
        <v>12889.846016386662</v>
      </c>
      <c r="M96" s="17">
        <f t="shared" si="5"/>
        <v>398.25655589431096</v>
      </c>
      <c r="N96" s="20">
        <f t="shared" si="6"/>
        <v>1348.9916156826257</v>
      </c>
      <c r="O96" s="18"/>
      <c r="P96" s="18"/>
    </row>
    <row r="97" spans="1:16" ht="12.75" customHeight="1">
      <c r="A97" s="16">
        <f t="shared" si="7"/>
        <v>0.9090909090909092</v>
      </c>
      <c r="B97" s="19">
        <f t="shared" si="8"/>
        <v>6.689730936293327</v>
      </c>
      <c r="C97" s="21">
        <f t="shared" si="9"/>
        <v>47.72631099390626</v>
      </c>
      <c r="D97" s="19">
        <f t="shared" si="1"/>
        <v>4.5</v>
      </c>
      <c r="E97" s="19">
        <f t="shared" si="10"/>
        <v>4.949999999999999</v>
      </c>
      <c r="F97" s="20">
        <f t="shared" si="11"/>
        <v>1414.67740109795</v>
      </c>
      <c r="G97" s="21">
        <f t="shared" si="12"/>
        <v>17.042893884930443</v>
      </c>
      <c r="H97" s="17">
        <f t="shared" si="2"/>
        <v>1352.552701716258</v>
      </c>
      <c r="I97" s="17">
        <f t="shared" si="3"/>
        <v>414.6243338943107</v>
      </c>
      <c r="J97" s="38">
        <f t="shared" si="13"/>
        <v>12906.219901259707</v>
      </c>
      <c r="K97" s="23">
        <f t="shared" si="14"/>
        <v>1.84099704373118</v>
      </c>
      <c r="L97" s="17">
        <f t="shared" si="4"/>
        <v>12899.558085508776</v>
      </c>
      <c r="M97" s="17">
        <f t="shared" si="5"/>
        <v>414.6243338943107</v>
      </c>
      <c r="N97" s="20">
        <f t="shared" si="6"/>
        <v>1359.2145174671896</v>
      </c>
      <c r="O97" s="18"/>
      <c r="P97" s="18"/>
    </row>
    <row r="98" spans="1:16" ht="12.75" customHeight="1">
      <c r="A98" s="16">
        <f t="shared" si="7"/>
        <v>0.892857142857143</v>
      </c>
      <c r="B98" s="19">
        <f t="shared" si="8"/>
        <v>6.756596776484445</v>
      </c>
      <c r="C98" s="21">
        <f t="shared" si="9"/>
        <v>48.23970029610212</v>
      </c>
      <c r="D98" s="19">
        <f t="shared" si="1"/>
        <v>4.5</v>
      </c>
      <c r="E98" s="19">
        <f t="shared" si="10"/>
        <v>5.039999999999999</v>
      </c>
      <c r="F98" s="20">
        <f t="shared" si="11"/>
        <v>1428.8175203231656</v>
      </c>
      <c r="G98" s="21">
        <f t="shared" si="12"/>
        <v>17.556283187126297</v>
      </c>
      <c r="H98" s="17">
        <f t="shared" si="2"/>
        <v>1362.2647708383718</v>
      </c>
      <c r="I98" s="17">
        <f t="shared" si="3"/>
        <v>430.99211189431054</v>
      </c>
      <c r="J98" s="38">
        <f t="shared" si="13"/>
        <v>12916.462755946728</v>
      </c>
      <c r="K98" s="23">
        <f t="shared" si="14"/>
        <v>1.9121809252433335</v>
      </c>
      <c r="L98" s="17">
        <f t="shared" si="4"/>
        <v>12909.270154630889</v>
      </c>
      <c r="M98" s="17">
        <f t="shared" si="5"/>
        <v>430.99211189431054</v>
      </c>
      <c r="N98" s="20">
        <f t="shared" si="6"/>
        <v>1369.457372154211</v>
      </c>
      <c r="O98" s="18"/>
      <c r="P98" s="18"/>
    </row>
    <row r="99" spans="1:16" ht="12.75" customHeight="1">
      <c r="A99" s="16">
        <f t="shared" si="7"/>
        <v>0.8771929824561405</v>
      </c>
      <c r="B99" s="19">
        <f t="shared" si="8"/>
        <v>6.82399443141625</v>
      </c>
      <c r="C99" s="21">
        <f t="shared" si="9"/>
        <v>48.74298829568713</v>
      </c>
      <c r="D99" s="19">
        <f t="shared" si="1"/>
        <v>4.5</v>
      </c>
      <c r="E99" s="19">
        <f aca="true" t="shared" si="15" ref="E99:E162">E98+0.02*$E$92</f>
        <v>5.129999999999999</v>
      </c>
      <c r="F99" s="20">
        <f t="shared" si="11"/>
        <v>1443.0701024115945</v>
      </c>
      <c r="G99" s="21">
        <f t="shared" si="12"/>
        <v>18.059571186711306</v>
      </c>
      <c r="H99" s="17">
        <f t="shared" si="2"/>
        <v>1371.9768399604857</v>
      </c>
      <c r="I99" s="17">
        <f t="shared" si="3"/>
        <v>447.3598898943106</v>
      </c>
      <c r="J99" s="38">
        <f t="shared" si="13"/>
        <v>12926.725516105473</v>
      </c>
      <c r="K99" s="23">
        <f t="shared" si="14"/>
        <v>1.9832518879807424</v>
      </c>
      <c r="L99" s="17">
        <f t="shared" si="4"/>
        <v>12918.982223753002</v>
      </c>
      <c r="M99" s="17">
        <f t="shared" si="5"/>
        <v>447.3598898943106</v>
      </c>
      <c r="N99" s="20">
        <f t="shared" si="6"/>
        <v>1379.7201323129557</v>
      </c>
      <c r="O99" s="18"/>
      <c r="P99" s="18"/>
    </row>
    <row r="100" spans="1:16" ht="12.75" customHeight="1">
      <c r="A100" s="16">
        <f t="shared" si="7"/>
        <v>0.8620689655172415</v>
      </c>
      <c r="B100" s="19">
        <f t="shared" si="8"/>
        <v>6.891908298867592</v>
      </c>
      <c r="C100" s="21">
        <f t="shared" si="9"/>
        <v>49.23639479905884</v>
      </c>
      <c r="D100" s="19">
        <f t="shared" si="1"/>
        <v>4.5</v>
      </c>
      <c r="E100" s="19">
        <f t="shared" si="15"/>
        <v>5.219999999999999</v>
      </c>
      <c r="F100" s="20">
        <f t="shared" si="11"/>
        <v>1457.4318479615297</v>
      </c>
      <c r="G100" s="21">
        <f t="shared" si="12"/>
        <v>18.552977690083026</v>
      </c>
      <c r="H100" s="17">
        <f t="shared" si="2"/>
        <v>1381.6889090825991</v>
      </c>
      <c r="I100" s="17">
        <f t="shared" si="3"/>
        <v>463.72766789431085</v>
      </c>
      <c r="J100" s="38">
        <f t="shared" si="13"/>
        <v>12937.00813436369</v>
      </c>
      <c r="K100" s="23">
        <f t="shared" si="14"/>
        <v>2.0542099822283246</v>
      </c>
      <c r="L100" s="17">
        <f t="shared" si="4"/>
        <v>12928.694292875116</v>
      </c>
      <c r="M100" s="17">
        <f t="shared" si="5"/>
        <v>463.72766789431085</v>
      </c>
      <c r="N100" s="20">
        <f t="shared" si="6"/>
        <v>1390.0027505711732</v>
      </c>
      <c r="O100" s="18"/>
      <c r="P100" s="18"/>
    </row>
    <row r="101" spans="1:16" ht="12.75" customHeight="1">
      <c r="A101" s="16">
        <f t="shared" si="7"/>
        <v>0.8474576271186443</v>
      </c>
      <c r="B101" s="19">
        <f t="shared" si="8"/>
        <v>6.96032326835471</v>
      </c>
      <c r="C101" s="21">
        <f t="shared" si="9"/>
        <v>49.720136931043555</v>
      </c>
      <c r="D101" s="19">
        <f t="shared" si="1"/>
        <v>4.5</v>
      </c>
      <c r="E101" s="19">
        <f t="shared" si="15"/>
        <v>5.309999999999999</v>
      </c>
      <c r="F101" s="20">
        <f t="shared" si="11"/>
        <v>1471.8995615589704</v>
      </c>
      <c r="G101" s="21">
        <f t="shared" si="12"/>
        <v>19.03671982206774</v>
      </c>
      <c r="H101" s="17">
        <f t="shared" si="2"/>
        <v>1391.400978204713</v>
      </c>
      <c r="I101" s="17">
        <f t="shared" si="3"/>
        <v>480.0954458943108</v>
      </c>
      <c r="J101" s="38">
        <f t="shared" si="13"/>
        <v>12947.310563408095</v>
      </c>
      <c r="K101" s="23">
        <f t="shared" si="14"/>
        <v>2.125055259496314</v>
      </c>
      <c r="L101" s="17">
        <f t="shared" si="4"/>
        <v>12938.40636199723</v>
      </c>
      <c r="M101" s="17">
        <f t="shared" si="5"/>
        <v>480.0954458943108</v>
      </c>
      <c r="N101" s="20">
        <f t="shared" si="6"/>
        <v>1400.3051796155778</v>
      </c>
      <c r="O101" s="18"/>
      <c r="P101" s="18"/>
    </row>
    <row r="102" spans="1:16" ht="12.75" customHeight="1">
      <c r="A102" s="16">
        <f t="shared" si="7"/>
        <v>0.8333333333333336</v>
      </c>
      <c r="B102" s="19">
        <f t="shared" si="8"/>
        <v>7.029224708315987</v>
      </c>
      <c r="C102" s="21">
        <f t="shared" si="9"/>
        <v>50.1944289077348</v>
      </c>
      <c r="D102" s="19">
        <f t="shared" si="1"/>
        <v>4.5</v>
      </c>
      <c r="E102" s="19">
        <f t="shared" si="15"/>
        <v>5.399999999999999</v>
      </c>
      <c r="F102" s="20">
        <f t="shared" si="11"/>
        <v>1486.4701490675818</v>
      </c>
      <c r="G102" s="21">
        <f t="shared" si="12"/>
        <v>19.511011798758986</v>
      </c>
      <c r="H102" s="17">
        <f t="shared" si="2"/>
        <v>1401.1130473268265</v>
      </c>
      <c r="I102" s="17">
        <f t="shared" si="3"/>
        <v>496.46322389431066</v>
      </c>
      <c r="J102" s="38">
        <f t="shared" si="13"/>
        <v>12957.632755984867</v>
      </c>
      <c r="K102" s="23">
        <f t="shared" si="14"/>
        <v>2.195787772511165</v>
      </c>
      <c r="L102" s="17">
        <f t="shared" si="4"/>
        <v>12948.118431119343</v>
      </c>
      <c r="M102" s="17">
        <f t="shared" si="5"/>
        <v>496.46322389431066</v>
      </c>
      <c r="N102" s="20">
        <f t="shared" si="6"/>
        <v>1410.6273721923499</v>
      </c>
      <c r="O102" s="18"/>
      <c r="P102" s="18"/>
    </row>
    <row r="103" spans="1:16" ht="12.75" customHeight="1">
      <c r="A103" s="16">
        <f t="shared" si="7"/>
        <v>0.8196721311475412</v>
      </c>
      <c r="B103" s="19">
        <f t="shared" si="8"/>
        <v>7.098598453215957</v>
      </c>
      <c r="C103" s="21">
        <f t="shared" si="9"/>
        <v>50.65948184016247</v>
      </c>
      <c r="D103" s="19">
        <f t="shared" si="1"/>
        <v>4.5</v>
      </c>
      <c r="E103" s="19">
        <f t="shared" si="15"/>
        <v>5.489999999999998</v>
      </c>
      <c r="F103" s="20">
        <f t="shared" si="11"/>
        <v>1501.1406149015786</v>
      </c>
      <c r="G103" s="21">
        <f t="shared" si="12"/>
        <v>19.976064731186653</v>
      </c>
      <c r="H103" s="17">
        <f t="shared" si="2"/>
        <v>1410.8251164489407</v>
      </c>
      <c r="I103" s="17">
        <f t="shared" si="3"/>
        <v>512.8310018943106</v>
      </c>
      <c r="J103" s="38">
        <f t="shared" si="13"/>
        <v>12967.974664900134</v>
      </c>
      <c r="K103" s="23">
        <f t="shared" si="14"/>
        <v>2.2664075752064603</v>
      </c>
      <c r="L103" s="17">
        <f t="shared" si="4"/>
        <v>12957.830500241458</v>
      </c>
      <c r="M103" s="17">
        <f t="shared" si="5"/>
        <v>512.8310018943106</v>
      </c>
      <c r="N103" s="20">
        <f t="shared" si="6"/>
        <v>1420.9692811076166</v>
      </c>
      <c r="O103" s="18"/>
      <c r="P103" s="18"/>
    </row>
    <row r="104" spans="1:16" ht="12.75" customHeight="1">
      <c r="A104" s="16">
        <f t="shared" si="7"/>
        <v>0.8064516129032261</v>
      </c>
      <c r="B104" s="19">
        <f t="shared" si="8"/>
        <v>7.1684307906263545</v>
      </c>
      <c r="C104" s="21">
        <f t="shared" si="9"/>
        <v>51.1155035662854</v>
      </c>
      <c r="D104" s="19">
        <f t="shared" si="1"/>
        <v>4.5</v>
      </c>
      <c r="E104" s="19">
        <f t="shared" si="15"/>
        <v>5.579999999999998</v>
      </c>
      <c r="F104" s="20">
        <f t="shared" si="11"/>
        <v>1515.9080592937553</v>
      </c>
      <c r="G104" s="21">
        <f t="shared" si="12"/>
        <v>20.432086457309584</v>
      </c>
      <c r="H104" s="17">
        <f t="shared" si="2"/>
        <v>1420.5371855710546</v>
      </c>
      <c r="I104" s="17">
        <f t="shared" si="3"/>
        <v>529.1987798943106</v>
      </c>
      <c r="J104" s="38">
        <f t="shared" si="13"/>
        <v>12978.336243020443</v>
      </c>
      <c r="K104" s="23">
        <f t="shared" si="14"/>
        <v>2.33691472271385</v>
      </c>
      <c r="L104" s="17">
        <f t="shared" si="4"/>
        <v>12967.542569363572</v>
      </c>
      <c r="M104" s="17">
        <f t="shared" si="5"/>
        <v>529.1987798943106</v>
      </c>
      <c r="N104" s="20">
        <f t="shared" si="6"/>
        <v>1431.3308592279263</v>
      </c>
      <c r="O104" s="18"/>
      <c r="P104" s="18"/>
    </row>
    <row r="105" spans="1:16" ht="12.75" customHeight="1">
      <c r="A105" s="16">
        <f t="shared" si="7"/>
        <v>0.7936507936507939</v>
      </c>
      <c r="B105" s="19">
        <f t="shared" si="8"/>
        <v>7.23870844833524</v>
      </c>
      <c r="C105" s="21">
        <f t="shared" si="9"/>
        <v>51.56269850893746</v>
      </c>
      <c r="D105" s="19">
        <f t="shared" si="1"/>
        <v>4.5</v>
      </c>
      <c r="E105" s="19">
        <f t="shared" si="15"/>
        <v>5.669999999999998</v>
      </c>
      <c r="F105" s="20">
        <f t="shared" si="11"/>
        <v>1530.7696755694533</v>
      </c>
      <c r="G105" s="21">
        <f t="shared" si="12"/>
        <v>20.87928139996164</v>
      </c>
      <c r="H105" s="17">
        <f t="shared" si="2"/>
        <v>1430.2492546931683</v>
      </c>
      <c r="I105" s="17">
        <f t="shared" si="3"/>
        <v>545.5665578943106</v>
      </c>
      <c r="J105" s="38">
        <f t="shared" si="13"/>
        <v>12988.717443273254</v>
      </c>
      <c r="K105" s="23">
        <f t="shared" si="14"/>
        <v>2.4073092713540043</v>
      </c>
      <c r="L105" s="17">
        <f t="shared" si="4"/>
        <v>12977.254638485685</v>
      </c>
      <c r="M105" s="17">
        <f t="shared" si="5"/>
        <v>545.5665578943106</v>
      </c>
      <c r="N105" s="20">
        <f t="shared" si="6"/>
        <v>1441.7120594807366</v>
      </c>
      <c r="O105" s="18"/>
      <c r="P105" s="18"/>
    </row>
    <row r="106" spans="1:16" ht="12.75" customHeight="1">
      <c r="A106" s="16">
        <f t="shared" si="7"/>
        <v>0.7812500000000002</v>
      </c>
      <c r="B106" s="19">
        <f t="shared" si="8"/>
        <v>7.3094185815289014</v>
      </c>
      <c r="C106" s="21">
        <f t="shared" si="9"/>
        <v>52.001267557495325</v>
      </c>
      <c r="D106" s="19">
        <f t="shared" si="1"/>
        <v>4.5</v>
      </c>
      <c r="E106" s="19">
        <f t="shared" si="15"/>
        <v>5.759999999999998</v>
      </c>
      <c r="F106" s="20">
        <f t="shared" si="11"/>
        <v>1545.7227474359167</v>
      </c>
      <c r="G106" s="21">
        <f t="shared" si="12"/>
        <v>21.317850448519508</v>
      </c>
      <c r="H106" s="17">
        <f t="shared" si="2"/>
        <v>1439.961323815282</v>
      </c>
      <c r="I106" s="17">
        <f t="shared" si="3"/>
        <v>561.9343358943105</v>
      </c>
      <c r="J106" s="38">
        <f t="shared" si="13"/>
        <v>12999.118218647383</v>
      </c>
      <c r="K106" s="23">
        <f t="shared" si="14"/>
        <v>2.477591278627595</v>
      </c>
      <c r="L106" s="17">
        <f t="shared" si="4"/>
        <v>12986.966707607799</v>
      </c>
      <c r="M106" s="17">
        <f t="shared" si="5"/>
        <v>561.9343358943105</v>
      </c>
      <c r="N106" s="20">
        <f t="shared" si="6"/>
        <v>1452.1128348548664</v>
      </c>
      <c r="O106" s="18"/>
      <c r="P106" s="18"/>
    </row>
    <row r="107" spans="1:16" ht="12.75" customHeight="1">
      <c r="A107" s="16">
        <f t="shared" si="7"/>
        <v>0.7692307692307695</v>
      </c>
      <c r="B107" s="19">
        <f t="shared" si="8"/>
        <v>7.380548760085524</v>
      </c>
      <c r="C107" s="21">
        <f t="shared" si="9"/>
        <v>52.4314079711725</v>
      </c>
      <c r="D107" s="19">
        <f t="shared" si="1"/>
        <v>4.5</v>
      </c>
      <c r="E107" s="19">
        <f t="shared" si="15"/>
        <v>5.849999999999998</v>
      </c>
      <c r="F107" s="20">
        <f t="shared" si="11"/>
        <v>1560.7646462952855</v>
      </c>
      <c r="G107" s="21">
        <f t="shared" si="12"/>
        <v>21.747990862196684</v>
      </c>
      <c r="H107" s="17">
        <f t="shared" si="2"/>
        <v>1449.6733929373954</v>
      </c>
      <c r="I107" s="17">
        <f t="shared" si="3"/>
        <v>578.3021138943104</v>
      </c>
      <c r="J107" s="38">
        <f t="shared" si="13"/>
        <v>13009.538522193488</v>
      </c>
      <c r="K107" s="23">
        <f t="shared" si="14"/>
        <v>2.5477608032062915</v>
      </c>
      <c r="L107" s="17">
        <f t="shared" si="4"/>
        <v>12996.678776729912</v>
      </c>
      <c r="M107" s="17">
        <f t="shared" si="5"/>
        <v>578.3021138943104</v>
      </c>
      <c r="N107" s="20">
        <f t="shared" si="6"/>
        <v>1462.5331384009714</v>
      </c>
      <c r="O107" s="18"/>
      <c r="P107" s="18"/>
    </row>
    <row r="108" spans="1:16" ht="12.75" customHeight="1">
      <c r="A108" s="16">
        <f t="shared" si="7"/>
        <v>0.7575757575757579</v>
      </c>
      <c r="B108" s="19">
        <f t="shared" si="8"/>
        <v>7.4520869560144005</v>
      </c>
      <c r="C108" s="21">
        <f t="shared" si="9"/>
        <v>52.853313301978204</v>
      </c>
      <c r="D108" s="19">
        <f t="shared" si="1"/>
        <v>4.5</v>
      </c>
      <c r="E108" s="19">
        <f t="shared" si="15"/>
        <v>5.939999999999998</v>
      </c>
      <c r="F108" s="20">
        <f t="shared" si="11"/>
        <v>1575.8928285883653</v>
      </c>
      <c r="G108" s="21">
        <f t="shared" si="12"/>
        <v>22.169896193002387</v>
      </c>
      <c r="H108" s="17">
        <f t="shared" si="2"/>
        <v>1459.3854620595096</v>
      </c>
      <c r="I108" s="17">
        <f t="shared" si="3"/>
        <v>594.6698918943104</v>
      </c>
      <c r="J108" s="38">
        <f t="shared" si="13"/>
        <v>13019.978307024518</v>
      </c>
      <c r="K108" s="23">
        <f t="shared" si="14"/>
        <v>2.6178179049237795</v>
      </c>
      <c r="L108" s="17">
        <f t="shared" si="4"/>
        <v>13006.390845852027</v>
      </c>
      <c r="M108" s="17">
        <f t="shared" si="5"/>
        <v>594.6698918943104</v>
      </c>
      <c r="N108" s="20">
        <f t="shared" si="6"/>
        <v>1472.9729232320005</v>
      </c>
      <c r="O108" s="18"/>
      <c r="P108" s="18"/>
    </row>
    <row r="109" spans="1:16" ht="12.75" customHeight="1">
      <c r="A109" s="16">
        <f t="shared" si="7"/>
        <v>0.7462686567164182</v>
      </c>
      <c r="B109" s="19">
        <f t="shared" si="8"/>
        <v>7.524021531069669</v>
      </c>
      <c r="C109" s="21">
        <f t="shared" si="9"/>
        <v>53.26717333551063</v>
      </c>
      <c r="D109" s="19">
        <f t="shared" si="1"/>
        <v>4.5</v>
      </c>
      <c r="E109" s="19">
        <f t="shared" si="15"/>
        <v>6.029999999999998</v>
      </c>
      <c r="F109" s="20">
        <f t="shared" si="11"/>
        <v>1591.104833175303</v>
      </c>
      <c r="G109" s="21">
        <f t="shared" si="12"/>
        <v>22.583756226534817</v>
      </c>
      <c r="H109" s="17">
        <f t="shared" si="2"/>
        <v>1469.097531181623</v>
      </c>
      <c r="I109" s="17">
        <f t="shared" si="3"/>
        <v>611.0376698943106</v>
      </c>
      <c r="J109" s="38">
        <f t="shared" si="13"/>
        <v>13030.437526316153</v>
      </c>
      <c r="K109" s="23">
        <f t="shared" si="14"/>
        <v>2.687762644766808</v>
      </c>
      <c r="L109" s="17">
        <f t="shared" si="4"/>
        <v>13016.10291497414</v>
      </c>
      <c r="M109" s="17">
        <f t="shared" si="5"/>
        <v>611.0376698943106</v>
      </c>
      <c r="N109" s="20">
        <f t="shared" si="6"/>
        <v>1483.4321425236358</v>
      </c>
      <c r="O109" s="18"/>
      <c r="P109" s="18"/>
    </row>
    <row r="110" spans="1:16" ht="12.75" customHeight="1">
      <c r="A110" s="16">
        <f t="shared" si="7"/>
        <v>0.7352941176470591</v>
      </c>
      <c r="B110" s="19">
        <f t="shared" si="8"/>
        <v>7.596341224563307</v>
      </c>
      <c r="C110" s="21">
        <f t="shared" si="9"/>
        <v>53.673174047879755</v>
      </c>
      <c r="D110" s="19">
        <f t="shared" si="1"/>
        <v>4.5</v>
      </c>
      <c r="E110" s="19">
        <f t="shared" si="15"/>
        <v>6.119999999999997</v>
      </c>
      <c r="F110" s="20">
        <f t="shared" si="11"/>
        <v>1606.3982787584025</v>
      </c>
      <c r="G110" s="21">
        <f t="shared" si="12"/>
        <v>22.989756938903938</v>
      </c>
      <c r="H110" s="17">
        <f t="shared" si="2"/>
        <v>1478.809600303737</v>
      </c>
      <c r="I110" s="17">
        <f t="shared" si="3"/>
        <v>627.4054478943104</v>
      </c>
      <c r="J110" s="38">
        <f t="shared" si="13"/>
        <v>13040.916133307275</v>
      </c>
      <c r="K110" s="23">
        <f t="shared" si="14"/>
        <v>2.7575950848662427</v>
      </c>
      <c r="L110" s="17">
        <f t="shared" si="4"/>
        <v>13025.814984096254</v>
      </c>
      <c r="M110" s="17">
        <f t="shared" si="5"/>
        <v>627.4054478943104</v>
      </c>
      <c r="N110" s="20">
        <f t="shared" si="6"/>
        <v>1493.9107495147582</v>
      </c>
      <c r="O110" s="18"/>
      <c r="P110" s="18"/>
    </row>
    <row r="111" spans="1:16" ht="12.75" customHeight="1">
      <c r="A111" s="16">
        <f t="shared" si="7"/>
        <v>0.7246376811594206</v>
      </c>
      <c r="B111" s="19">
        <f t="shared" si="8"/>
        <v>7.669035141398164</v>
      </c>
      <c r="C111" s="21">
        <f t="shared" si="9"/>
        <v>54.07149757717716</v>
      </c>
      <c r="D111" s="19">
        <f t="shared" si="1"/>
        <v>4.5</v>
      </c>
      <c r="E111" s="19">
        <f t="shared" si="15"/>
        <v>6.209999999999997</v>
      </c>
      <c r="F111" s="20">
        <f t="shared" si="11"/>
        <v>1621.7708613514699</v>
      </c>
      <c r="G111" s="21">
        <f t="shared" si="12"/>
        <v>23.38808046820134</v>
      </c>
      <c r="H111" s="17">
        <f t="shared" si="2"/>
        <v>1488.5216694258506</v>
      </c>
      <c r="I111" s="17">
        <f t="shared" si="3"/>
        <v>643.7732258943105</v>
      </c>
      <c r="J111" s="38">
        <f t="shared" si="13"/>
        <v>13051.414081300398</v>
      </c>
      <c r="K111" s="23">
        <f t="shared" si="14"/>
        <v>2.8273152884881676</v>
      </c>
      <c r="L111" s="17">
        <f t="shared" si="4"/>
        <v>13035.527053218368</v>
      </c>
      <c r="M111" s="17">
        <f t="shared" si="5"/>
        <v>643.7732258943105</v>
      </c>
      <c r="N111" s="20">
        <f t="shared" si="6"/>
        <v>1504.4086975078808</v>
      </c>
      <c r="O111" s="18"/>
      <c r="P111" s="18"/>
    </row>
    <row r="112" spans="1:16" ht="12.75" customHeight="1">
      <c r="A112" s="16">
        <f t="shared" si="7"/>
        <v>0.7142857142857146</v>
      </c>
      <c r="B112" s="19">
        <f t="shared" si="8"/>
        <v>7.742092740338362</v>
      </c>
      <c r="C112" s="21">
        <f t="shared" si="9"/>
        <v>54.46232220802561</v>
      </c>
      <c r="D112" s="19">
        <f t="shared" si="1"/>
        <v>4.5</v>
      </c>
      <c r="E112" s="19">
        <f t="shared" si="15"/>
        <v>6.299999999999997</v>
      </c>
      <c r="F112" s="20">
        <f t="shared" si="11"/>
        <v>1637.2203517993532</v>
      </c>
      <c r="G112" s="21">
        <f t="shared" si="12"/>
        <v>23.778905099049798</v>
      </c>
      <c r="H112" s="17">
        <f t="shared" si="2"/>
        <v>1498.2337385479643</v>
      </c>
      <c r="I112" s="17">
        <f t="shared" si="3"/>
        <v>660.1410038943105</v>
      </c>
      <c r="J112" s="38">
        <f t="shared" si="13"/>
        <v>13061.931323662104</v>
      </c>
      <c r="K112" s="23">
        <f t="shared" si="14"/>
        <v>2.8969233200249844</v>
      </c>
      <c r="L112" s="17">
        <f t="shared" si="4"/>
        <v>13045.239122340481</v>
      </c>
      <c r="M112" s="17">
        <f t="shared" si="5"/>
        <v>660.1410038943105</v>
      </c>
      <c r="N112" s="20">
        <f t="shared" si="6"/>
        <v>1514.9259398695867</v>
      </c>
      <c r="O112" s="18"/>
      <c r="P112" s="18"/>
    </row>
    <row r="113" spans="1:16" ht="12.75" customHeight="1">
      <c r="A113" s="16">
        <f t="shared" si="7"/>
        <v>0.7042253521126763</v>
      </c>
      <c r="B113" s="19">
        <f t="shared" si="8"/>
        <v>7.815503822531211</v>
      </c>
      <c r="C113" s="21">
        <f t="shared" si="9"/>
        <v>54.845822367852556</v>
      </c>
      <c r="D113" s="19">
        <f t="shared" si="1"/>
        <v>4.5</v>
      </c>
      <c r="E113" s="19">
        <f t="shared" si="15"/>
        <v>6.389999999999997</v>
      </c>
      <c r="F113" s="20">
        <f t="shared" si="11"/>
        <v>1652.7445933506751</v>
      </c>
      <c r="G113" s="21">
        <f t="shared" si="12"/>
        <v>24.162405258876742</v>
      </c>
      <c r="H113" s="17">
        <f t="shared" si="2"/>
        <v>1507.9458076700782</v>
      </c>
      <c r="I113" s="17">
        <f t="shared" si="3"/>
        <v>676.5087818943103</v>
      </c>
      <c r="J113" s="38">
        <f t="shared" si="13"/>
        <v>13072.467813823476</v>
      </c>
      <c r="K113" s="23">
        <f t="shared" si="14"/>
        <v>2.9664192449865476</v>
      </c>
      <c r="L113" s="17">
        <f t="shared" si="4"/>
        <v>13054.951191462595</v>
      </c>
      <c r="M113" s="17">
        <f t="shared" si="5"/>
        <v>676.5087818943103</v>
      </c>
      <c r="N113" s="20">
        <f t="shared" si="6"/>
        <v>1525.4624300309588</v>
      </c>
      <c r="O113" s="18"/>
      <c r="P113" s="18"/>
    </row>
    <row r="114" spans="1:16" ht="12.75" customHeight="1">
      <c r="A114" s="16">
        <f t="shared" si="7"/>
        <v>0.6944444444444448</v>
      </c>
      <c r="B114" s="19">
        <f t="shared" si="8"/>
        <v>7.889258520292002</v>
      </c>
      <c r="C114" s="21">
        <f t="shared" si="9"/>
        <v>55.222168633636116</v>
      </c>
      <c r="D114" s="19">
        <f t="shared" si="1"/>
        <v>4.5</v>
      </c>
      <c r="E114" s="19">
        <f t="shared" si="15"/>
        <v>6.479999999999997</v>
      </c>
      <c r="F114" s="20">
        <f t="shared" si="11"/>
        <v>1668.3414992861497</v>
      </c>
      <c r="G114" s="21">
        <f t="shared" si="12"/>
        <v>24.538751524660302</v>
      </c>
      <c r="H114" s="17">
        <f t="shared" si="2"/>
        <v>1517.657876792192</v>
      </c>
      <c r="I114" s="17">
        <f t="shared" si="3"/>
        <v>692.8765598943104</v>
      </c>
      <c r="J114" s="38">
        <f t="shared" si="13"/>
        <v>13083.02350528053</v>
      </c>
      <c r="K114" s="23">
        <f t="shared" si="14"/>
        <v>3.0358031299913275</v>
      </c>
      <c r="L114" s="17">
        <f t="shared" si="4"/>
        <v>13064.663260584708</v>
      </c>
      <c r="M114" s="17">
        <f t="shared" si="5"/>
        <v>692.8765598943104</v>
      </c>
      <c r="N114" s="20">
        <f t="shared" si="6"/>
        <v>1536.0181214880122</v>
      </c>
      <c r="O114" s="18"/>
      <c r="P114" s="18"/>
    </row>
    <row r="115" spans="1:16" ht="12.75" customHeight="1">
      <c r="A115" s="16">
        <f t="shared" si="7"/>
        <v>0.6849315068493154</v>
      </c>
      <c r="B115" s="19">
        <f t="shared" si="8"/>
        <v>7.96334728616051</v>
      </c>
      <c r="C115" s="21">
        <f t="shared" si="9"/>
        <v>55.59152774797136</v>
      </c>
      <c r="D115" s="19">
        <f t="shared" si="1"/>
        <v>4.5</v>
      </c>
      <c r="E115" s="19">
        <f t="shared" si="15"/>
        <v>6.569999999999997</v>
      </c>
      <c r="F115" s="20">
        <f t="shared" si="11"/>
        <v>1684.009050604363</v>
      </c>
      <c r="G115" s="21">
        <f t="shared" si="12"/>
        <v>24.908110638995545</v>
      </c>
      <c r="H115" s="17">
        <f t="shared" si="2"/>
        <v>1527.3699459143058</v>
      </c>
      <c r="I115" s="17">
        <f t="shared" si="3"/>
        <v>709.2443378943102</v>
      </c>
      <c r="J115" s="38">
        <f t="shared" si="13"/>
        <v>13093.598351594628</v>
      </c>
      <c r="K115" s="23">
        <f t="shared" si="14"/>
        <v>3.105075042757584</v>
      </c>
      <c r="L115" s="17">
        <f t="shared" si="4"/>
        <v>13074.375329706823</v>
      </c>
      <c r="M115" s="17">
        <f t="shared" si="5"/>
        <v>709.2443378943102</v>
      </c>
      <c r="N115" s="20">
        <f t="shared" si="6"/>
        <v>1546.5929678021112</v>
      </c>
      <c r="O115" s="18"/>
      <c r="P115" s="18"/>
    </row>
    <row r="116" spans="1:16" ht="12.75" customHeight="1">
      <c r="A116" s="16">
        <f t="shared" si="7"/>
        <v>0.675675675675676</v>
      </c>
      <c r="B116" s="19">
        <f t="shared" si="8"/>
        <v>8.037760882235796</v>
      </c>
      <c r="C116" s="21">
        <f t="shared" si="9"/>
        <v>55.95406264339832</v>
      </c>
      <c r="D116" s="19">
        <f t="shared" si="1"/>
        <v>4.5</v>
      </c>
      <c r="E116" s="19">
        <f t="shared" si="15"/>
        <v>6.659999999999997</v>
      </c>
      <c r="F116" s="20">
        <f t="shared" si="11"/>
        <v>1699.7452937664038</v>
      </c>
      <c r="G116" s="21">
        <f t="shared" si="12"/>
        <v>25.270645534422506</v>
      </c>
      <c r="H116" s="17">
        <f t="shared" si="2"/>
        <v>1537.0820150364198</v>
      </c>
      <c r="I116" s="17">
        <f t="shared" si="3"/>
        <v>725.6121158943105</v>
      </c>
      <c r="J116" s="38">
        <f t="shared" si="13"/>
        <v>13104.192306392897</v>
      </c>
      <c r="K116" s="23">
        <f t="shared" si="14"/>
        <v>3.174235052094581</v>
      </c>
      <c r="L116" s="17">
        <f t="shared" si="4"/>
        <v>13084.087398828937</v>
      </c>
      <c r="M116" s="17">
        <f t="shared" si="5"/>
        <v>725.6121158943105</v>
      </c>
      <c r="N116" s="20">
        <f t="shared" si="6"/>
        <v>1557.18692260038</v>
      </c>
      <c r="O116" s="18"/>
      <c r="P116" s="18"/>
    </row>
    <row r="117" spans="1:16" ht="12.75" customHeight="1">
      <c r="A117" s="16">
        <f t="shared" si="7"/>
        <v>0.666666666666667</v>
      </c>
      <c r="B117" s="19">
        <f t="shared" si="8"/>
        <v>8.112490369793973</v>
      </c>
      <c r="C117" s="21">
        <f t="shared" si="9"/>
        <v>56.30993247402021</v>
      </c>
      <c r="D117" s="19">
        <f t="shared" si="1"/>
        <v>4.5</v>
      </c>
      <c r="E117" s="19">
        <f t="shared" si="15"/>
        <v>6.7499999999999964</v>
      </c>
      <c r="F117" s="20">
        <f t="shared" si="11"/>
        <v>1715.5483385003315</v>
      </c>
      <c r="G117" s="21">
        <f t="shared" si="12"/>
        <v>25.626515365044387</v>
      </c>
      <c r="H117" s="17">
        <f t="shared" si="2"/>
        <v>1546.7940841585332</v>
      </c>
      <c r="I117" s="17">
        <f t="shared" si="3"/>
        <v>741.9798938943104</v>
      </c>
      <c r="J117" s="38">
        <f t="shared" si="13"/>
        <v>13114.805323368648</v>
      </c>
      <c r="K117" s="23">
        <f t="shared" si="14"/>
        <v>3.2432832278938055</v>
      </c>
      <c r="L117" s="17">
        <f t="shared" si="4"/>
        <v>13093.79946795105</v>
      </c>
      <c r="M117" s="17">
        <f t="shared" si="5"/>
        <v>741.9798938943104</v>
      </c>
      <c r="N117" s="20">
        <f t="shared" si="6"/>
        <v>1567.7999395761308</v>
      </c>
      <c r="O117" s="18"/>
      <c r="P117" s="18"/>
    </row>
    <row r="118" spans="1:16" ht="12.75" customHeight="1">
      <c r="A118" s="16">
        <f t="shared" si="7"/>
        <v>0.6578947368421056</v>
      </c>
      <c r="B118" s="19">
        <f t="shared" si="8"/>
        <v>8.187527099191792</v>
      </c>
      <c r="C118" s="21">
        <f t="shared" si="9"/>
        <v>56.65929265352299</v>
      </c>
      <c r="D118" s="19">
        <f t="shared" si="1"/>
        <v>4.5</v>
      </c>
      <c r="E118" s="19">
        <f t="shared" si="15"/>
        <v>6.839999999999996</v>
      </c>
      <c r="F118" s="20">
        <f t="shared" si="11"/>
        <v>1731.416355666088</v>
      </c>
      <c r="G118" s="21">
        <f t="shared" si="12"/>
        <v>25.975875544547172</v>
      </c>
      <c r="H118" s="17">
        <f t="shared" si="2"/>
        <v>1556.5061532806471</v>
      </c>
      <c r="I118" s="17">
        <f t="shared" si="3"/>
        <v>758.3476718943103</v>
      </c>
      <c r="J118" s="38">
        <f t="shared" si="13"/>
        <v>13125.437356281773</v>
      </c>
      <c r="K118" s="23">
        <f t="shared" si="14"/>
        <v>3.312219641120233</v>
      </c>
      <c r="L118" s="17">
        <f t="shared" si="4"/>
        <v>13103.511537073164</v>
      </c>
      <c r="M118" s="17">
        <f t="shared" si="5"/>
        <v>758.3476718943103</v>
      </c>
      <c r="N118" s="20">
        <f t="shared" si="6"/>
        <v>1578.4319724892557</v>
      </c>
      <c r="O118" s="18"/>
      <c r="P118" s="18"/>
    </row>
    <row r="119" spans="1:16" ht="12.75" customHeight="1">
      <c r="A119" s="16">
        <f t="shared" si="7"/>
        <v>0.6493506493506497</v>
      </c>
      <c r="B119" s="19">
        <f t="shared" si="8"/>
        <v>8.262862700057404</v>
      </c>
      <c r="C119" s="21">
        <f t="shared" si="9"/>
        <v>57.002294898783695</v>
      </c>
      <c r="D119" s="19">
        <f t="shared" si="1"/>
        <v>4.5</v>
      </c>
      <c r="E119" s="19">
        <f t="shared" si="15"/>
        <v>6.929999999999996</v>
      </c>
      <c r="F119" s="20">
        <f t="shared" si="11"/>
        <v>1747.3475751811393</v>
      </c>
      <c r="G119" s="21">
        <f t="shared" si="12"/>
        <v>26.318877789807875</v>
      </c>
      <c r="H119" s="17">
        <f t="shared" si="2"/>
        <v>1566.2182224027608</v>
      </c>
      <c r="I119" s="17">
        <f t="shared" si="3"/>
        <v>774.71544989431</v>
      </c>
      <c r="J119" s="38">
        <f t="shared" si="13"/>
        <v>13136.088358959147</v>
      </c>
      <c r="K119" s="23">
        <f t="shared" si="14"/>
        <v>3.381044363803605</v>
      </c>
      <c r="L119" s="17">
        <f t="shared" si="4"/>
        <v>13113.223606195277</v>
      </c>
      <c r="M119" s="17">
        <f t="shared" si="5"/>
        <v>774.71544989431</v>
      </c>
      <c r="N119" s="20">
        <f t="shared" si="6"/>
        <v>1589.0829751666297</v>
      </c>
      <c r="O119" s="18"/>
      <c r="P119" s="18"/>
    </row>
    <row r="120" spans="1:16" ht="12.75" customHeight="1">
      <c r="A120" s="16">
        <f t="shared" si="7"/>
        <v>0.6410256410256414</v>
      </c>
      <c r="B120" s="19">
        <f t="shared" si="8"/>
        <v>8.338489071768334</v>
      </c>
      <c r="C120" s="21">
        <f t="shared" si="9"/>
        <v>57.33908727832618</v>
      </c>
      <c r="D120" s="19">
        <f t="shared" si="1"/>
        <v>4.5</v>
      </c>
      <c r="E120" s="19">
        <f t="shared" si="15"/>
        <v>7.019999999999996</v>
      </c>
      <c r="F120" s="20">
        <f t="shared" si="11"/>
        <v>1763.3402840068495</v>
      </c>
      <c r="G120" s="21">
        <f t="shared" si="12"/>
        <v>26.655670169350365</v>
      </c>
      <c r="H120" s="17">
        <f t="shared" si="2"/>
        <v>1575.9302915248745</v>
      </c>
      <c r="I120" s="17">
        <f t="shared" si="3"/>
        <v>791.0832278943103</v>
      </c>
      <c r="J120" s="38">
        <f t="shared" si="13"/>
        <v>13146.758285295035</v>
      </c>
      <c r="K120" s="23">
        <f t="shared" si="14"/>
        <v>3.4497574690297386</v>
      </c>
      <c r="L120" s="17">
        <f t="shared" si="4"/>
        <v>13122.935675317392</v>
      </c>
      <c r="M120" s="17">
        <f t="shared" si="5"/>
        <v>791.0832278943103</v>
      </c>
      <c r="N120" s="20">
        <f t="shared" si="6"/>
        <v>1599.7529015025175</v>
      </c>
      <c r="O120" s="18"/>
      <c r="P120" s="18"/>
    </row>
    <row r="121" spans="1:16" ht="12.75" customHeight="1">
      <c r="A121" s="16">
        <f t="shared" si="7"/>
        <v>0.6329113924050637</v>
      </c>
      <c r="B121" s="19">
        <f t="shared" si="8"/>
        <v>8.41439837421547</v>
      </c>
      <c r="C121" s="21">
        <f t="shared" si="9"/>
        <v>57.669814264949636</v>
      </c>
      <c r="D121" s="19">
        <f t="shared" si="1"/>
        <v>4.5</v>
      </c>
      <c r="E121" s="19">
        <f t="shared" si="15"/>
        <v>7.109999999999996</v>
      </c>
      <c r="F121" s="20">
        <f t="shared" si="11"/>
        <v>1779.3928241953452</v>
      </c>
      <c r="G121" s="21">
        <f t="shared" si="12"/>
        <v>26.986397155973822</v>
      </c>
      <c r="H121" s="17">
        <f t="shared" si="2"/>
        <v>1585.6423606469882</v>
      </c>
      <c r="I121" s="17">
        <f t="shared" si="3"/>
        <v>807.4510058943101</v>
      </c>
      <c r="J121" s="38">
        <f t="shared" si="13"/>
        <v>13157.447089251464</v>
      </c>
      <c r="K121" s="23">
        <f t="shared" si="14"/>
        <v>3.51835903093185</v>
      </c>
      <c r="L121" s="17">
        <f t="shared" si="4"/>
        <v>13132.647744439506</v>
      </c>
      <c r="M121" s="17">
        <f t="shared" si="5"/>
        <v>807.4510058943101</v>
      </c>
      <c r="N121" s="20">
        <f t="shared" si="6"/>
        <v>1610.4417054589467</v>
      </c>
      <c r="O121" s="18"/>
      <c r="P121" s="18"/>
    </row>
    <row r="122" spans="1:16" ht="12.75" customHeight="1">
      <c r="A122" s="16">
        <f t="shared" si="7"/>
        <v>0.6250000000000003</v>
      </c>
      <c r="B122" s="19">
        <f t="shared" si="8"/>
        <v>8.49058301885094</v>
      </c>
      <c r="C122" s="21">
        <f t="shared" si="9"/>
        <v>57.99461679191649</v>
      </c>
      <c r="D122" s="19">
        <f t="shared" si="1"/>
        <v>4.5</v>
      </c>
      <c r="E122" s="19">
        <f t="shared" si="15"/>
        <v>7.199999999999996</v>
      </c>
      <c r="F122" s="20">
        <f t="shared" si="11"/>
        <v>1795.503590996408</v>
      </c>
      <c r="G122" s="21">
        <f t="shared" si="12"/>
        <v>27.31119968294068</v>
      </c>
      <c r="H122" s="17">
        <f t="shared" si="2"/>
        <v>1595.354429769102</v>
      </c>
      <c r="I122" s="17">
        <f t="shared" si="3"/>
        <v>823.8187838943101</v>
      </c>
      <c r="J122" s="38">
        <f t="shared" si="13"/>
        <v>13168.154724858623</v>
      </c>
      <c r="K122" s="23">
        <f t="shared" si="14"/>
        <v>3.586849124681925</v>
      </c>
      <c r="L122" s="17">
        <f t="shared" si="4"/>
        <v>13142.35981356162</v>
      </c>
      <c r="M122" s="17">
        <f t="shared" si="5"/>
        <v>823.8187838943101</v>
      </c>
      <c r="N122" s="20">
        <f t="shared" si="6"/>
        <v>1621.149341066106</v>
      </c>
      <c r="O122" s="18"/>
      <c r="P122" s="18"/>
    </row>
    <row r="123" spans="1:16" ht="12.75" customHeight="1">
      <c r="A123" s="16">
        <f t="shared" si="7"/>
        <v>0.6172839506172844</v>
      </c>
      <c r="B123" s="19">
        <f t="shared" si="8"/>
        <v>8.567035660016826</v>
      </c>
      <c r="C123" s="21">
        <f t="shared" si="9"/>
        <v>58.31363231214338</v>
      </c>
      <c r="D123" s="19">
        <f t="shared" si="1"/>
        <v>4.5</v>
      </c>
      <c r="E123" s="19">
        <f t="shared" si="15"/>
        <v>7.289999999999996</v>
      </c>
      <c r="F123" s="20">
        <f t="shared" si="11"/>
        <v>1811.6710310237581</v>
      </c>
      <c r="G123" s="21">
        <f t="shared" si="12"/>
        <v>27.63021520316757</v>
      </c>
      <c r="H123" s="17">
        <f t="shared" si="2"/>
        <v>1605.0664988912158</v>
      </c>
      <c r="I123" s="17">
        <f t="shared" si="3"/>
        <v>840.1865618943101</v>
      </c>
      <c r="J123" s="38">
        <f t="shared" si="13"/>
        <v>13178.881146215252</v>
      </c>
      <c r="K123" s="23">
        <f t="shared" si="14"/>
        <v>3.6552278264820965</v>
      </c>
      <c r="L123" s="17">
        <f t="shared" si="4"/>
        <v>13152.071882683733</v>
      </c>
      <c r="M123" s="17">
        <f t="shared" si="5"/>
        <v>840.1865618943101</v>
      </c>
      <c r="N123" s="20">
        <f t="shared" si="6"/>
        <v>1631.8757624227346</v>
      </c>
      <c r="O123" s="18"/>
      <c r="P123" s="18"/>
    </row>
    <row r="124" spans="1:16" ht="12.75" customHeight="1">
      <c r="A124" s="16">
        <f t="shared" si="7"/>
        <v>0.609756097560976</v>
      </c>
      <c r="B124" s="19">
        <f t="shared" si="8"/>
        <v>8.643749186550934</v>
      </c>
      <c r="C124" s="21">
        <f t="shared" si="9"/>
        <v>58.62699485989152</v>
      </c>
      <c r="D124" s="19">
        <f aca="true" t="shared" si="16" ref="D124:D155">$J$3</f>
        <v>4.5</v>
      </c>
      <c r="E124" s="19">
        <f t="shared" si="15"/>
        <v>7.3799999999999955</v>
      </c>
      <c r="F124" s="20">
        <f t="shared" si="11"/>
        <v>1827.893640479926</v>
      </c>
      <c r="G124" s="21">
        <f t="shared" si="12"/>
        <v>27.943577750915697</v>
      </c>
      <c r="H124" s="17">
        <f aca="true" t="shared" si="17" ref="H124:H155">COS((C124+$D$7)/180*PI())*$C$7*B124</f>
        <v>1614.77856801333</v>
      </c>
      <c r="I124" s="17">
        <f aca="true" t="shared" si="18" ref="I124:I155">SIN((C124+$D$7)/180*PI())*$C$7*B124</f>
        <v>856.5543398943099</v>
      </c>
      <c r="J124" s="38">
        <f t="shared" si="13"/>
        <v>13189.626307488992</v>
      </c>
      <c r="K124" s="23">
        <f t="shared" si="14"/>
        <v>3.7234952135560593</v>
      </c>
      <c r="L124" s="17">
        <f aca="true" t="shared" si="19" ref="L124:L155">H124+$E$5</f>
        <v>13161.783951805846</v>
      </c>
      <c r="M124" s="17">
        <f aca="true" t="shared" si="20" ref="M124:M155">I124+$F$5</f>
        <v>856.5543398943099</v>
      </c>
      <c r="N124" s="20">
        <f aca="true" t="shared" si="21" ref="N124:N155">J124-$C$5*1000</f>
        <v>1642.620923696475</v>
      </c>
      <c r="O124" s="18"/>
      <c r="P124" s="18"/>
    </row>
    <row r="125" spans="1:16" ht="12.75" customHeight="1">
      <c r="A125" s="16">
        <f t="shared" si="7"/>
        <v>0.6024096385542173</v>
      </c>
      <c r="B125" s="19">
        <f t="shared" si="8"/>
        <v>8.72071671366522</v>
      </c>
      <c r="C125" s="21">
        <f t="shared" si="9"/>
        <v>58.93483511450134</v>
      </c>
      <c r="D125" s="19">
        <f t="shared" si="16"/>
        <v>4.5</v>
      </c>
      <c r="E125" s="19">
        <f t="shared" si="15"/>
        <v>7.469999999999995</v>
      </c>
      <c r="F125" s="20">
        <f t="shared" si="11"/>
        <v>1844.1699634387842</v>
      </c>
      <c r="G125" s="21">
        <f t="shared" si="12"/>
        <v>28.251418005525522</v>
      </c>
      <c r="H125" s="17">
        <f t="shared" si="17"/>
        <v>1624.4906371354434</v>
      </c>
      <c r="I125" s="17">
        <f t="shared" si="18"/>
        <v>872.9221178943101</v>
      </c>
      <c r="J125" s="38">
        <f t="shared" si="13"/>
        <v>13200.390162916783</v>
      </c>
      <c r="K125" s="23">
        <f t="shared" si="14"/>
        <v>3.7916513641405136</v>
      </c>
      <c r="L125" s="17">
        <f t="shared" si="19"/>
        <v>13171.49602092796</v>
      </c>
      <c r="M125" s="17">
        <f t="shared" si="20"/>
        <v>872.9221178943101</v>
      </c>
      <c r="N125" s="20">
        <f t="shared" si="21"/>
        <v>1653.384779124266</v>
      </c>
      <c r="O125" s="18"/>
      <c r="P125" s="18"/>
    </row>
    <row r="126" spans="1:16" ht="12.75" customHeight="1">
      <c r="A126" s="16">
        <f t="shared" si="7"/>
        <v>0.5952380952380956</v>
      </c>
      <c r="B126" s="19">
        <f t="shared" si="8"/>
        <v>8.797931575091951</v>
      </c>
      <c r="C126" s="21">
        <f t="shared" si="9"/>
        <v>59.23728046576106</v>
      </c>
      <c r="D126" s="19">
        <f t="shared" si="16"/>
        <v>4.5</v>
      </c>
      <c r="E126" s="19">
        <f t="shared" si="15"/>
        <v>7.559999999999995</v>
      </c>
      <c r="F126" s="20">
        <f t="shared" si="11"/>
        <v>1860.4985901846949</v>
      </c>
      <c r="G126" s="21">
        <f t="shared" si="12"/>
        <v>28.553863356785246</v>
      </c>
      <c r="H126" s="17">
        <f t="shared" si="17"/>
        <v>1634.2027062575576</v>
      </c>
      <c r="I126" s="17">
        <f t="shared" si="18"/>
        <v>889.2898958943099</v>
      </c>
      <c r="J126" s="38">
        <f t="shared" si="13"/>
        <v>13211.172666805216</v>
      </c>
      <c r="K126" s="23">
        <f t="shared" si="14"/>
        <v>3.859696357476617</v>
      </c>
      <c r="L126" s="17">
        <f t="shared" si="19"/>
        <v>13181.208090050075</v>
      </c>
      <c r="M126" s="17">
        <f t="shared" si="20"/>
        <v>889.2898958943099</v>
      </c>
      <c r="N126" s="20">
        <f t="shared" si="21"/>
        <v>1664.167283012699</v>
      </c>
      <c r="O126" s="18"/>
      <c r="P126" s="18"/>
    </row>
    <row r="127" spans="1:16" ht="12.75" customHeight="1">
      <c r="A127" s="16">
        <f t="shared" si="7"/>
        <v>0.5882352941176474</v>
      </c>
      <c r="B127" s="19">
        <f t="shared" si="8"/>
        <v>8.875387315492205</v>
      </c>
      <c r="C127" s="21">
        <f t="shared" si="9"/>
        <v>59.53445508054011</v>
      </c>
      <c r="D127" s="19">
        <f t="shared" si="16"/>
        <v>4.5</v>
      </c>
      <c r="E127" s="19">
        <f t="shared" si="15"/>
        <v>7.649999999999995</v>
      </c>
      <c r="F127" s="20">
        <f t="shared" si="11"/>
        <v>1876.8781556071367</v>
      </c>
      <c r="G127" s="21">
        <f t="shared" si="12"/>
        <v>28.851037971564296</v>
      </c>
      <c r="H127" s="17">
        <f t="shared" si="17"/>
        <v>1643.914775379671</v>
      </c>
      <c r="I127" s="17">
        <f t="shared" si="18"/>
        <v>905.6576738943102</v>
      </c>
      <c r="J127" s="38">
        <f t="shared" si="13"/>
        <v>13221.973773530899</v>
      </c>
      <c r="K127" s="23">
        <f t="shared" si="14"/>
        <v>3.927630273801505</v>
      </c>
      <c r="L127" s="17">
        <f t="shared" si="19"/>
        <v>13190.920159172189</v>
      </c>
      <c r="M127" s="17">
        <f t="shared" si="20"/>
        <v>905.6576738943102</v>
      </c>
      <c r="N127" s="20">
        <f t="shared" si="21"/>
        <v>1674.968389738382</v>
      </c>
      <c r="O127" s="18"/>
      <c r="P127" s="18"/>
    </row>
    <row r="128" spans="1:16" ht="12.75" customHeight="1">
      <c r="A128" s="16">
        <f t="shared" si="7"/>
        <v>0.5813953488372097</v>
      </c>
      <c r="B128" s="19">
        <f t="shared" si="8"/>
        <v>8.953077683121036</v>
      </c>
      <c r="C128" s="21">
        <f t="shared" si="9"/>
        <v>59.82647997035565</v>
      </c>
      <c r="D128" s="19">
        <f t="shared" si="16"/>
        <v>4.5</v>
      </c>
      <c r="E128" s="19">
        <f t="shared" si="15"/>
        <v>7.739999999999995</v>
      </c>
      <c r="F128" s="20">
        <f t="shared" si="11"/>
        <v>1893.3073376496054</v>
      </c>
      <c r="G128" s="21">
        <f t="shared" si="12"/>
        <v>29.143062861379825</v>
      </c>
      <c r="H128" s="17">
        <f t="shared" si="17"/>
        <v>1653.626844501785</v>
      </c>
      <c r="I128" s="17">
        <f t="shared" si="18"/>
        <v>922.0254518943099</v>
      </c>
      <c r="J128" s="38">
        <f t="shared" si="13"/>
        <v>13232.79343754081</v>
      </c>
      <c r="K128" s="23">
        <f t="shared" si="14"/>
        <v>3.9954531943397824</v>
      </c>
      <c r="L128" s="17">
        <f t="shared" si="19"/>
        <v>13200.632228294302</v>
      </c>
      <c r="M128" s="17">
        <f t="shared" si="20"/>
        <v>922.0254518943099</v>
      </c>
      <c r="N128" s="20">
        <f t="shared" si="21"/>
        <v>1685.7880537482924</v>
      </c>
      <c r="O128" s="18"/>
      <c r="P128" s="18"/>
    </row>
    <row r="129" spans="1:16" ht="12.75" customHeight="1">
      <c r="A129" s="16">
        <f t="shared" si="7"/>
        <v>0.5747126436781613</v>
      </c>
      <c r="B129" s="19">
        <f t="shared" si="8"/>
        <v>9.030996622743245</v>
      </c>
      <c r="C129" s="21">
        <f t="shared" si="9"/>
        <v>60.11347305957596</v>
      </c>
      <c r="D129" s="19">
        <f t="shared" si="16"/>
        <v>4.5</v>
      </c>
      <c r="E129" s="19">
        <f t="shared" si="15"/>
        <v>7.829999999999995</v>
      </c>
      <c r="F129" s="20">
        <f t="shared" si="11"/>
        <v>1909.784855811514</v>
      </c>
      <c r="G129" s="21">
        <f t="shared" si="12"/>
        <v>29.430055950600146</v>
      </c>
      <c r="H129" s="17">
        <f t="shared" si="17"/>
        <v>1663.3389136238982</v>
      </c>
      <c r="I129" s="17">
        <f t="shared" si="18"/>
        <v>938.3932298943101</v>
      </c>
      <c r="J129" s="38">
        <f t="shared" si="13"/>
        <v>13243.631613352656</v>
      </c>
      <c r="K129" s="23">
        <f t="shared" si="14"/>
        <v>4.063165201295099</v>
      </c>
      <c r="L129" s="17">
        <f t="shared" si="19"/>
        <v>13210.344297416415</v>
      </c>
      <c r="M129" s="17">
        <f t="shared" si="20"/>
        <v>938.3932298943101</v>
      </c>
      <c r="N129" s="20">
        <f t="shared" si="21"/>
        <v>1696.626229560139</v>
      </c>
      <c r="O129" s="18"/>
      <c r="P129" s="18"/>
    </row>
    <row r="130" spans="1:16" ht="12.75" customHeight="1">
      <c r="A130" s="16">
        <f t="shared" si="7"/>
        <v>0.5681818181818186</v>
      </c>
      <c r="B130" s="19">
        <f t="shared" si="8"/>
        <v>9.109138268793592</v>
      </c>
      <c r="C130" s="21">
        <f t="shared" si="9"/>
        <v>60.39554925399508</v>
      </c>
      <c r="D130" s="19">
        <f t="shared" si="16"/>
        <v>4.5</v>
      </c>
      <c r="E130" s="19">
        <f t="shared" si="15"/>
        <v>7.919999999999995</v>
      </c>
      <c r="F130" s="20">
        <f t="shared" si="11"/>
        <v>1926.309469701781</v>
      </c>
      <c r="G130" s="21">
        <f t="shared" si="12"/>
        <v>29.712132145019257</v>
      </c>
      <c r="H130" s="17">
        <f t="shared" si="17"/>
        <v>1673.0509827460123</v>
      </c>
      <c r="I130" s="17">
        <f t="shared" si="18"/>
        <v>954.76100789431</v>
      </c>
      <c r="J130" s="38">
        <f t="shared" si="13"/>
        <v>13254.48825555522</v>
      </c>
      <c r="K130" s="23">
        <f t="shared" si="14"/>
        <v>4.130766377841713</v>
      </c>
      <c r="L130" s="17">
        <f t="shared" si="19"/>
        <v>13220.056366538529</v>
      </c>
      <c r="M130" s="17">
        <f t="shared" si="20"/>
        <v>954.76100789431</v>
      </c>
      <c r="N130" s="20">
        <f t="shared" si="21"/>
        <v>1707.4828717627024</v>
      </c>
      <c r="O130" s="18"/>
      <c r="P130" s="18"/>
    </row>
    <row r="131" spans="1:16" ht="12.75" customHeight="1">
      <c r="A131" s="16">
        <f t="shared" si="7"/>
        <v>0.5617977528089891</v>
      </c>
      <c r="B131" s="19">
        <f t="shared" si="8"/>
        <v>9.187496938774995</v>
      </c>
      <c r="C131" s="21">
        <f t="shared" si="9"/>
        <v>60.67282050954318</v>
      </c>
      <c r="D131" s="19">
        <f t="shared" si="16"/>
        <v>4.5</v>
      </c>
      <c r="E131" s="19">
        <f t="shared" si="15"/>
        <v>8.009999999999994</v>
      </c>
      <c r="F131" s="20">
        <f t="shared" si="11"/>
        <v>1942.8799776427481</v>
      </c>
      <c r="G131" s="21">
        <f t="shared" si="12"/>
        <v>29.98940340056736</v>
      </c>
      <c r="H131" s="17">
        <f t="shared" si="17"/>
        <v>1682.763051868126</v>
      </c>
      <c r="I131" s="17">
        <f t="shared" si="18"/>
        <v>971.1287858943098</v>
      </c>
      <c r="J131" s="38">
        <f t="shared" si="13"/>
        <v>13265.363318808693</v>
      </c>
      <c r="K131" s="23">
        <f t="shared" si="14"/>
        <v>4.198256808116105</v>
      </c>
      <c r="L131" s="17">
        <f t="shared" si="19"/>
        <v>13229.768435660642</v>
      </c>
      <c r="M131" s="17">
        <f t="shared" si="20"/>
        <v>971.1287858943098</v>
      </c>
      <c r="N131" s="20">
        <f t="shared" si="21"/>
        <v>1718.3579350161763</v>
      </c>
      <c r="O131" s="18"/>
      <c r="P131" s="18"/>
    </row>
    <row r="132" spans="1:16" ht="12.75" customHeight="1">
      <c r="A132" s="16">
        <f t="shared" si="7"/>
        <v>0.5555555555555559</v>
      </c>
      <c r="B132" s="19">
        <f t="shared" si="8"/>
        <v>9.266067126888295</v>
      </c>
      <c r="C132" s="21">
        <f t="shared" si="9"/>
        <v>60.94539590092283</v>
      </c>
      <c r="D132" s="19">
        <f t="shared" si="16"/>
        <v>4.5</v>
      </c>
      <c r="E132" s="19">
        <f t="shared" si="15"/>
        <v>8.099999999999994</v>
      </c>
      <c r="F132" s="20">
        <f t="shared" si="11"/>
        <v>1959.4952153230677</v>
      </c>
      <c r="G132" s="21">
        <f t="shared" si="12"/>
        <v>30.26197879194702</v>
      </c>
      <c r="H132" s="17">
        <f t="shared" si="17"/>
        <v>1692.47512099024</v>
      </c>
      <c r="I132" s="17">
        <f t="shared" si="18"/>
        <v>987.4965638943098</v>
      </c>
      <c r="J132" s="38">
        <f t="shared" si="13"/>
        <v>13276.256757845029</v>
      </c>
      <c r="K132" s="23">
        <f t="shared" si="14"/>
        <v>4.265636577208616</v>
      </c>
      <c r="L132" s="17">
        <f t="shared" si="19"/>
        <v>13239.480504782758</v>
      </c>
      <c r="M132" s="17">
        <f t="shared" si="20"/>
        <v>987.4965638943098</v>
      </c>
      <c r="N132" s="20">
        <f t="shared" si="21"/>
        <v>1729.251374052512</v>
      </c>
      <c r="O132" s="18"/>
      <c r="P132" s="18"/>
    </row>
    <row r="133" spans="1:16" ht="12.75" customHeight="1">
      <c r="A133" s="16">
        <f t="shared" si="7"/>
        <v>0.5494505494505498</v>
      </c>
      <c r="B133" s="19">
        <f t="shared" si="8"/>
        <v>9.344843497886945</v>
      </c>
      <c r="C133" s="21">
        <f t="shared" si="9"/>
        <v>61.21338168998595</v>
      </c>
      <c r="D133" s="19">
        <f t="shared" si="16"/>
        <v>4.5</v>
      </c>
      <c r="E133" s="19">
        <f t="shared" si="15"/>
        <v>8.189999999999994</v>
      </c>
      <c r="F133" s="20">
        <f t="shared" si="11"/>
        <v>1976.1540544981524</v>
      </c>
      <c r="G133" s="21">
        <f t="shared" si="12"/>
        <v>30.529964581010134</v>
      </c>
      <c r="H133" s="17">
        <f t="shared" si="17"/>
        <v>1702.1871901123536</v>
      </c>
      <c r="I133" s="17">
        <f t="shared" si="18"/>
        <v>1003.8643418943101</v>
      </c>
      <c r="J133" s="38">
        <f t="shared" si="13"/>
        <v>13287.168527468255</v>
      </c>
      <c r="K133" s="23">
        <f t="shared" si="14"/>
        <v>4.332905771155107</v>
      </c>
      <c r="L133" s="17">
        <f t="shared" si="19"/>
        <v>13249.192573904871</v>
      </c>
      <c r="M133" s="17">
        <f t="shared" si="20"/>
        <v>1003.8643418943101</v>
      </c>
      <c r="N133" s="20">
        <f t="shared" si="21"/>
        <v>1740.163143675738</v>
      </c>
      <c r="O133" s="18"/>
      <c r="P133" s="18"/>
    </row>
    <row r="134" spans="1:16" ht="12.75" customHeight="1">
      <c r="A134" s="16">
        <f t="shared" si="7"/>
        <v>0.5434782608695656</v>
      </c>
      <c r="B134" s="19">
        <f t="shared" si="8"/>
        <v>9.42382088115006</v>
      </c>
      <c r="C134" s="21">
        <f t="shared" si="9"/>
        <v>61.476881393687954</v>
      </c>
      <c r="D134" s="19">
        <f t="shared" si="16"/>
        <v>4.5</v>
      </c>
      <c r="E134" s="19">
        <f t="shared" si="15"/>
        <v>8.279999999999994</v>
      </c>
      <c r="F134" s="20">
        <f t="shared" si="11"/>
        <v>1992.8554017368033</v>
      </c>
      <c r="G134" s="21">
        <f t="shared" si="12"/>
        <v>30.793464284712137</v>
      </c>
      <c r="H134" s="17">
        <f t="shared" si="17"/>
        <v>1711.8992592344673</v>
      </c>
      <c r="I134" s="17">
        <f t="shared" si="18"/>
        <v>1020.2321198943099</v>
      </c>
      <c r="J134" s="38">
        <f t="shared" si="13"/>
        <v>13298.098582554821</v>
      </c>
      <c r="K134" s="23">
        <f t="shared" si="14"/>
        <v>4.400064476928653</v>
      </c>
      <c r="L134" s="17">
        <f t="shared" si="19"/>
        <v>13258.904643026985</v>
      </c>
      <c r="M134" s="17">
        <f t="shared" si="20"/>
        <v>1020.2321198943099</v>
      </c>
      <c r="N134" s="20">
        <f t="shared" si="21"/>
        <v>1751.0931987623044</v>
      </c>
      <c r="O134" s="18"/>
      <c r="P134" s="18"/>
    </row>
    <row r="135" spans="1:16" ht="12.75" customHeight="1">
      <c r="A135" s="16">
        <f t="shared" si="7"/>
        <v>0.537634408602151</v>
      </c>
      <c r="B135" s="19">
        <f t="shared" si="8"/>
        <v>9.50299426496722</v>
      </c>
      <c r="C135" s="21">
        <f t="shared" si="9"/>
        <v>61.73599585147606</v>
      </c>
      <c r="D135" s="19">
        <f t="shared" si="16"/>
        <v>4.5</v>
      </c>
      <c r="E135" s="19">
        <f t="shared" si="15"/>
        <v>8.369999999999994</v>
      </c>
      <c r="F135" s="20">
        <f t="shared" si="11"/>
        <v>2009.598197212618</v>
      </c>
      <c r="G135" s="21">
        <f t="shared" si="12"/>
        <v>31.05257874250024</v>
      </c>
      <c r="H135" s="17">
        <f t="shared" si="17"/>
        <v>1721.611328356581</v>
      </c>
      <c r="I135" s="17">
        <f t="shared" si="18"/>
        <v>1036.5998978943098</v>
      </c>
      <c r="J135" s="38">
        <f t="shared" si="13"/>
        <v>13309.046878053921</v>
      </c>
      <c r="K135" s="23">
        <f t="shared" si="14"/>
        <v>4.467112782431279</v>
      </c>
      <c r="L135" s="17">
        <f t="shared" si="19"/>
        <v>13268.616712149098</v>
      </c>
      <c r="M135" s="17">
        <f t="shared" si="20"/>
        <v>1036.5998978943098</v>
      </c>
      <c r="N135" s="20">
        <f t="shared" si="21"/>
        <v>1762.0414942614043</v>
      </c>
      <c r="O135" s="18"/>
      <c r="P135" s="18"/>
    </row>
    <row r="136" spans="1:16" ht="12.75" customHeight="1">
      <c r="A136" s="16">
        <f t="shared" si="7"/>
        <v>0.5319148936170217</v>
      </c>
      <c r="B136" s="19">
        <f t="shared" si="8"/>
        <v>9.582358791028433</v>
      </c>
      <c r="C136" s="21">
        <f t="shared" si="9"/>
        <v>61.990823291986146</v>
      </c>
      <c r="D136" s="19">
        <f t="shared" si="16"/>
        <v>4.5</v>
      </c>
      <c r="E136" s="19">
        <f t="shared" si="15"/>
        <v>8.459999999999994</v>
      </c>
      <c r="F136" s="20">
        <f t="shared" si="11"/>
        <v>2026.381413538783</v>
      </c>
      <c r="G136" s="21">
        <f t="shared" si="12"/>
        <v>31.307406183010322</v>
      </c>
      <c r="H136" s="17">
        <f t="shared" si="17"/>
        <v>1731.3233974786951</v>
      </c>
      <c r="I136" s="17">
        <f t="shared" si="18"/>
        <v>1052.9676758943097</v>
      </c>
      <c r="J136" s="38">
        <f t="shared" si="13"/>
        <v>13320.013368987798</v>
      </c>
      <c r="K136" s="23">
        <f t="shared" si="14"/>
        <v>4.534050776485701</v>
      </c>
      <c r="L136" s="17">
        <f t="shared" si="19"/>
        <v>13278.328781271211</v>
      </c>
      <c r="M136" s="17">
        <f t="shared" si="20"/>
        <v>1052.9676758943097</v>
      </c>
      <c r="N136" s="20">
        <f t="shared" si="21"/>
        <v>1773.0079851952814</v>
      </c>
      <c r="O136" s="18"/>
      <c r="P136" s="18"/>
    </row>
    <row r="137" spans="1:16" ht="12.75" customHeight="1">
      <c r="A137" s="16">
        <f t="shared" si="7"/>
        <v>0.5263157894736846</v>
      </c>
      <c r="B137" s="19">
        <f t="shared" si="8"/>
        <v>9.661909749112745</v>
      </c>
      <c r="C137" s="21">
        <f t="shared" si="9"/>
        <v>62.241459398939966</v>
      </c>
      <c r="D137" s="19">
        <f t="shared" si="16"/>
        <v>4.5</v>
      </c>
      <c r="E137" s="19">
        <f t="shared" si="15"/>
        <v>8.549999999999994</v>
      </c>
      <c r="F137" s="20">
        <f t="shared" si="11"/>
        <v>2043.204054644872</v>
      </c>
      <c r="G137" s="21">
        <f t="shared" si="12"/>
        <v>31.558042289964146</v>
      </c>
      <c r="H137" s="17">
        <f t="shared" si="17"/>
        <v>1741.0354666008086</v>
      </c>
      <c r="I137" s="17">
        <f t="shared" si="18"/>
        <v>1069.33545389431</v>
      </c>
      <c r="J137" s="38">
        <f t="shared" si="13"/>
        <v>13330.998010452073</v>
      </c>
      <c r="K137" s="23">
        <f t="shared" si="14"/>
        <v>4.600878548827116</v>
      </c>
      <c r="L137" s="17">
        <f t="shared" si="19"/>
        <v>13288.040850393325</v>
      </c>
      <c r="M137" s="17">
        <f t="shared" si="20"/>
        <v>1069.33545389431</v>
      </c>
      <c r="N137" s="20">
        <f t="shared" si="21"/>
        <v>1783.9926266595558</v>
      </c>
      <c r="O137" s="18"/>
      <c r="P137" s="18"/>
    </row>
    <row r="138" spans="1:16" ht="12.75" customHeight="1">
      <c r="A138" s="16">
        <f t="shared" si="7"/>
        <v>0.5208333333333337</v>
      </c>
      <c r="B138" s="19">
        <f t="shared" si="8"/>
        <v>9.741642571969056</v>
      </c>
      <c r="C138" s="21">
        <f t="shared" si="9"/>
        <v>62.48799737614853</v>
      </c>
      <c r="D138" s="19">
        <f t="shared" si="16"/>
        <v>4.5</v>
      </c>
      <c r="E138" s="19">
        <f t="shared" si="15"/>
        <v>8.639999999999993</v>
      </c>
      <c r="F138" s="20">
        <f t="shared" si="11"/>
        <v>2060.0651546942963</v>
      </c>
      <c r="G138" s="21">
        <f t="shared" si="12"/>
        <v>31.804580267172714</v>
      </c>
      <c r="H138" s="17">
        <f t="shared" si="17"/>
        <v>1750.7475357229225</v>
      </c>
      <c r="I138" s="17">
        <f t="shared" si="18"/>
        <v>1085.7032318943097</v>
      </c>
      <c r="J138" s="38">
        <f t="shared" si="13"/>
        <v>13342.000757616046</v>
      </c>
      <c r="K138" s="23">
        <f t="shared" si="14"/>
        <v>4.667596190095011</v>
      </c>
      <c r="L138" s="17">
        <f t="shared" si="19"/>
        <v>13297.75291951544</v>
      </c>
      <c r="M138" s="17">
        <f t="shared" si="20"/>
        <v>1085.7032318943097</v>
      </c>
      <c r="N138" s="20">
        <f t="shared" si="21"/>
        <v>1794.995373823529</v>
      </c>
      <c r="O138" s="18"/>
      <c r="P138" s="18"/>
    </row>
    <row r="139" spans="1:16" ht="12.75" customHeight="1">
      <c r="A139" s="16">
        <f t="shared" si="7"/>
        <v>0.5154639175257736</v>
      </c>
      <c r="B139" s="19">
        <f t="shared" si="8"/>
        <v>9.821552830382775</v>
      </c>
      <c r="C139" s="21">
        <f t="shared" si="9"/>
        <v>62.73052801154191</v>
      </c>
      <c r="D139" s="19">
        <f t="shared" si="16"/>
        <v>4.5</v>
      </c>
      <c r="E139" s="19">
        <f t="shared" si="15"/>
        <v>8.729999999999993</v>
      </c>
      <c r="F139" s="20">
        <f t="shared" si="11"/>
        <v>2076.9637770410454</v>
      </c>
      <c r="G139" s="21">
        <f t="shared" si="12"/>
        <v>32.0471109025661</v>
      </c>
      <c r="H139" s="17">
        <f t="shared" si="17"/>
        <v>1760.4596048450362</v>
      </c>
      <c r="I139" s="17">
        <f t="shared" si="18"/>
        <v>1102.0710098943098</v>
      </c>
      <c r="J139" s="38">
        <f t="shared" si="13"/>
        <v>13353.02156572301</v>
      </c>
      <c r="K139" s="23">
        <f t="shared" si="14"/>
        <v>4.734203791825022</v>
      </c>
      <c r="L139" s="17">
        <f t="shared" si="19"/>
        <v>13307.464988637554</v>
      </c>
      <c r="M139" s="17">
        <f t="shared" si="20"/>
        <v>1102.0710098943098</v>
      </c>
      <c r="N139" s="20">
        <f t="shared" si="21"/>
        <v>1806.0161819304922</v>
      </c>
      <c r="O139" s="18"/>
      <c r="P139" s="18"/>
    </row>
    <row r="140" spans="1:16" ht="12.75" customHeight="1">
      <c r="A140" s="16">
        <f t="shared" si="7"/>
        <v>0.5102040816326534</v>
      </c>
      <c r="B140" s="19">
        <f t="shared" si="8"/>
        <v>9.901636228422042</v>
      </c>
      <c r="C140" s="21">
        <f t="shared" si="9"/>
        <v>62.969139740157004</v>
      </c>
      <c r="D140" s="19">
        <f t="shared" si="16"/>
        <v>4.5</v>
      </c>
      <c r="E140" s="19">
        <f t="shared" si="15"/>
        <v>8.819999999999993</v>
      </c>
      <c r="F140" s="20">
        <f t="shared" si="11"/>
        <v>2093.8990132244094</v>
      </c>
      <c r="G140" s="21">
        <f t="shared" si="12"/>
        <v>32.28572263118119</v>
      </c>
      <c r="H140" s="17">
        <f t="shared" si="17"/>
        <v>1770.1716739671501</v>
      </c>
      <c r="I140" s="17">
        <f t="shared" si="18"/>
        <v>1118.4387878943098</v>
      </c>
      <c r="J140" s="38">
        <f t="shared" si="13"/>
        <v>13364.060390090539</v>
      </c>
      <c r="K140" s="23">
        <f t="shared" si="14"/>
        <v>4.800701446440789</v>
      </c>
      <c r="L140" s="17">
        <f t="shared" si="19"/>
        <v>13317.177057759667</v>
      </c>
      <c r="M140" s="17">
        <f t="shared" si="20"/>
        <v>1118.4387878943098</v>
      </c>
      <c r="N140" s="20">
        <f t="shared" si="21"/>
        <v>1817.055006298022</v>
      </c>
      <c r="O140" s="18"/>
      <c r="P140" s="18"/>
    </row>
    <row r="141" spans="1:16" ht="12.75" customHeight="1">
      <c r="A141" s="16">
        <f t="shared" si="7"/>
        <v>0.5050505050505054</v>
      </c>
      <c r="B141" s="19">
        <f t="shared" si="8"/>
        <v>9.981888598857427</v>
      </c>
      <c r="C141" s="21">
        <f t="shared" si="9"/>
        <v>63.20391870602652</v>
      </c>
      <c r="D141" s="19">
        <f t="shared" si="16"/>
        <v>4.5</v>
      </c>
      <c r="E141" s="19">
        <f t="shared" si="15"/>
        <v>8.909999999999993</v>
      </c>
      <c r="F141" s="20">
        <f t="shared" si="11"/>
        <v>2110.86998200038</v>
      </c>
      <c r="G141" s="21">
        <f t="shared" si="12"/>
        <v>32.5205015970507</v>
      </c>
      <c r="H141" s="17">
        <f t="shared" si="17"/>
        <v>1779.8837430892638</v>
      </c>
      <c r="I141" s="17">
        <f t="shared" si="18"/>
        <v>1134.8065658943099</v>
      </c>
      <c r="J141" s="38">
        <f t="shared" si="13"/>
        <v>13375.117186110807</v>
      </c>
      <c r="K141" s="23">
        <f t="shared" si="14"/>
        <v>4.8670892472458815</v>
      </c>
      <c r="L141" s="17">
        <f t="shared" si="19"/>
        <v>13326.88912688178</v>
      </c>
      <c r="M141" s="17">
        <f t="shared" si="20"/>
        <v>1134.8065658943099</v>
      </c>
      <c r="N141" s="20">
        <f t="shared" si="21"/>
        <v>1828.1118023182898</v>
      </c>
      <c r="O141" s="18"/>
      <c r="P141" s="18"/>
    </row>
    <row r="142" spans="1:16" ht="12.75" customHeight="1">
      <c r="A142" s="16">
        <f t="shared" si="7"/>
        <v>0.5000000000000004</v>
      </c>
      <c r="B142" s="19">
        <f t="shared" si="8"/>
        <v>10.062305898749047</v>
      </c>
      <c r="C142" s="21">
        <f t="shared" si="9"/>
        <v>63.434948822921996</v>
      </c>
      <c r="D142" s="19">
        <f t="shared" si="16"/>
        <v>4.5</v>
      </c>
      <c r="E142" s="19">
        <f t="shared" si="15"/>
        <v>8.999999999999993</v>
      </c>
      <c r="F142" s="20">
        <f t="shared" si="11"/>
        <v>2127.875828408461</v>
      </c>
      <c r="G142" s="21">
        <f t="shared" si="12"/>
        <v>32.75153171394618</v>
      </c>
      <c r="H142" s="17">
        <f t="shared" si="17"/>
        <v>1789.5958122113775</v>
      </c>
      <c r="I142" s="17">
        <f t="shared" si="18"/>
        <v>1151.1743438943097</v>
      </c>
      <c r="J142" s="38">
        <f t="shared" si="13"/>
        <v>13386.191909250854</v>
      </c>
      <c r="K142" s="23">
        <f t="shared" si="14"/>
        <v>4.933367288415714</v>
      </c>
      <c r="L142" s="17">
        <f t="shared" si="19"/>
        <v>13336.601196003894</v>
      </c>
      <c r="M142" s="17">
        <f t="shared" si="20"/>
        <v>1151.1743438943097</v>
      </c>
      <c r="N142" s="20">
        <f t="shared" si="21"/>
        <v>1839.1865254583372</v>
      </c>
      <c r="O142" s="18"/>
      <c r="P142" s="18"/>
    </row>
    <row r="143" spans="1:16" ht="12.75" customHeight="1">
      <c r="A143" s="16">
        <f t="shared" si="7"/>
        <v>0.49504950495049543</v>
      </c>
      <c r="B143" s="19">
        <f t="shared" si="8"/>
        <v>10.142884205195278</v>
      </c>
      <c r="C143" s="21">
        <f t="shared" si="9"/>
        <v>63.662311833912554</v>
      </c>
      <c r="D143" s="19">
        <f t="shared" si="16"/>
        <v>4.5</v>
      </c>
      <c r="E143" s="19">
        <f t="shared" si="15"/>
        <v>9.089999999999993</v>
      </c>
      <c r="F143" s="20">
        <f t="shared" si="11"/>
        <v>2144.9157228726453</v>
      </c>
      <c r="G143" s="21">
        <f t="shared" si="12"/>
        <v>32.978894724936744</v>
      </c>
      <c r="H143" s="17">
        <f t="shared" si="17"/>
        <v>1799.307881333491</v>
      </c>
      <c r="I143" s="17">
        <f t="shared" si="18"/>
        <v>1167.5421218943095</v>
      </c>
      <c r="J143" s="38">
        <f t="shared" si="13"/>
        <v>13397.284515052888</v>
      </c>
      <c r="K143" s="23">
        <f t="shared" si="14"/>
        <v>4.999535664989541</v>
      </c>
      <c r="L143" s="17">
        <f t="shared" si="19"/>
        <v>13346.313265126008</v>
      </c>
      <c r="M143" s="17">
        <f t="shared" si="20"/>
        <v>1167.5421218943095</v>
      </c>
      <c r="N143" s="20">
        <f t="shared" si="21"/>
        <v>1850.2791312603713</v>
      </c>
      <c r="O143" s="18"/>
      <c r="P143" s="18"/>
    </row>
    <row r="144" spans="1:16" ht="12.75" customHeight="1">
      <c r="A144" s="16">
        <f t="shared" si="7"/>
        <v>0.4901960784313729</v>
      </c>
      <c r="B144" s="19">
        <f t="shared" si="8"/>
        <v>10.223619711237301</v>
      </c>
      <c r="C144" s="21">
        <f t="shared" si="9"/>
        <v>63.88608736970927</v>
      </c>
      <c r="D144" s="19">
        <f t="shared" si="16"/>
        <v>4.5</v>
      </c>
      <c r="E144" s="19">
        <f t="shared" si="15"/>
        <v>9.179999999999993</v>
      </c>
      <c r="F144" s="20">
        <f t="shared" si="11"/>
        <v>2161.9888603353525</v>
      </c>
      <c r="G144" s="21">
        <f t="shared" si="12"/>
        <v>33.202670260733456</v>
      </c>
      <c r="H144" s="17">
        <f t="shared" si="17"/>
        <v>1809.0199504556053</v>
      </c>
      <c r="I144" s="17">
        <f t="shared" si="18"/>
        <v>1183.9098998943098</v>
      </c>
      <c r="J144" s="38">
        <f t="shared" si="13"/>
        <v>13408.394959134574</v>
      </c>
      <c r="K144" s="23">
        <f t="shared" si="14"/>
        <v>5.065594472862434</v>
      </c>
      <c r="L144" s="17">
        <f t="shared" si="19"/>
        <v>13356.025334248123</v>
      </c>
      <c r="M144" s="17">
        <f t="shared" si="20"/>
        <v>1183.9098998943098</v>
      </c>
      <c r="N144" s="20">
        <f t="shared" si="21"/>
        <v>1861.3895753420566</v>
      </c>
      <c r="O144" s="18"/>
      <c r="P144" s="18"/>
    </row>
    <row r="145" spans="1:16" ht="12.75" customHeight="1">
      <c r="A145" s="16">
        <f t="shared" si="7"/>
        <v>0.4854368932038839</v>
      </c>
      <c r="B145" s="19">
        <f t="shared" si="8"/>
        <v>10.30450872191391</v>
      </c>
      <c r="C145" s="21">
        <f t="shared" si="9"/>
        <v>64.10635300577198</v>
      </c>
      <c r="D145" s="19">
        <f t="shared" si="16"/>
        <v>4.5</v>
      </c>
      <c r="E145" s="19">
        <f t="shared" si="15"/>
        <v>9.269999999999992</v>
      </c>
      <c r="F145" s="20">
        <f t="shared" si="11"/>
        <v>2179.0944594231346</v>
      </c>
      <c r="G145" s="21">
        <f t="shared" si="12"/>
        <v>33.42293589679616</v>
      </c>
      <c r="H145" s="17">
        <f t="shared" si="17"/>
        <v>1818.7320195777186</v>
      </c>
      <c r="I145" s="17">
        <f t="shared" si="18"/>
        <v>1200.2776778943098</v>
      </c>
      <c r="J145" s="38">
        <f t="shared" si="13"/>
        <v>13419.523197189292</v>
      </c>
      <c r="K145" s="23">
        <f t="shared" si="14"/>
        <v>5.131543808777319</v>
      </c>
      <c r="L145" s="17">
        <f t="shared" si="19"/>
        <v>13365.737403370236</v>
      </c>
      <c r="M145" s="17">
        <f t="shared" si="20"/>
        <v>1200.2776778943098</v>
      </c>
      <c r="N145" s="20">
        <f t="shared" si="21"/>
        <v>1872.5178133967747</v>
      </c>
      <c r="O145" s="18"/>
      <c r="P145" s="18"/>
    </row>
    <row r="146" spans="1:16" ht="12.75" customHeight="1">
      <c r="A146" s="16">
        <f t="shared" si="7"/>
        <v>0.48076923076923117</v>
      </c>
      <c r="B146" s="19">
        <f t="shared" si="8"/>
        <v>10.385547650461186</v>
      </c>
      <c r="C146" s="21">
        <f t="shared" si="9"/>
        <v>64.32318431816176</v>
      </c>
      <c r="D146" s="19">
        <f t="shared" si="16"/>
        <v>4.5</v>
      </c>
      <c r="E146" s="19">
        <f t="shared" si="15"/>
        <v>9.359999999999992</v>
      </c>
      <c r="F146" s="20">
        <f t="shared" si="11"/>
        <v>2196.231761643027</v>
      </c>
      <c r="G146" s="21">
        <f t="shared" si="12"/>
        <v>33.63976720918595</v>
      </c>
      <c r="H146" s="17">
        <f t="shared" si="17"/>
        <v>1828.4440886998327</v>
      </c>
      <c r="I146" s="17">
        <f t="shared" si="18"/>
        <v>1216.6454558943094</v>
      </c>
      <c r="J146" s="38">
        <f t="shared" si="13"/>
        <v>13430.669184986433</v>
      </c>
      <c r="K146" s="23">
        <f t="shared" si="14"/>
        <v>5.197383770317043</v>
      </c>
      <c r="L146" s="17">
        <f t="shared" si="19"/>
        <v>13375.44947249235</v>
      </c>
      <c r="M146" s="17">
        <f t="shared" si="20"/>
        <v>1216.6454558943094</v>
      </c>
      <c r="N146" s="20">
        <f t="shared" si="21"/>
        <v>1883.6638011939158</v>
      </c>
      <c r="O146" s="18"/>
      <c r="P146" s="18"/>
    </row>
    <row r="147" spans="1:16" ht="12.75" customHeight="1">
      <c r="A147" s="16">
        <f t="shared" si="7"/>
        <v>0.4761904761904766</v>
      </c>
      <c r="B147" s="19">
        <f t="shared" si="8"/>
        <v>10.4667330146517</v>
      </c>
      <c r="C147" s="21">
        <f t="shared" si="9"/>
        <v>64.53665493812838</v>
      </c>
      <c r="D147" s="19">
        <f t="shared" si="16"/>
        <v>4.5</v>
      </c>
      <c r="E147" s="19">
        <f t="shared" si="15"/>
        <v>9.449999999999992</v>
      </c>
      <c r="F147" s="20">
        <f t="shared" si="11"/>
        <v>2213.400030608395</v>
      </c>
      <c r="G147" s="21">
        <f t="shared" si="12"/>
        <v>33.85323782915256</v>
      </c>
      <c r="H147" s="17">
        <f t="shared" si="17"/>
        <v>1838.1561578219462</v>
      </c>
      <c r="I147" s="17">
        <f t="shared" si="18"/>
        <v>1233.01323389431</v>
      </c>
      <c r="J147" s="38">
        <f t="shared" si="13"/>
        <v>13441.83287837166</v>
      </c>
      <c r="K147" s="23">
        <f t="shared" si="14"/>
        <v>5.263114455896475</v>
      </c>
      <c r="L147" s="17">
        <f t="shared" si="19"/>
        <v>13385.161541614463</v>
      </c>
      <c r="M147" s="17">
        <f t="shared" si="20"/>
        <v>1233.01323389431</v>
      </c>
      <c r="N147" s="20">
        <f t="shared" si="21"/>
        <v>1894.8274945791436</v>
      </c>
      <c r="O147" s="18"/>
      <c r="P147" s="18"/>
    </row>
    <row r="148" spans="1:16" ht="12.75" customHeight="1">
      <c r="A148" s="16">
        <f t="shared" si="7"/>
        <v>0.47169811320754756</v>
      </c>
      <c r="B148" s="19">
        <f t="shared" si="8"/>
        <v>10.548061433268193</v>
      </c>
      <c r="C148" s="21">
        <f t="shared" si="9"/>
        <v>64.7468366054261</v>
      </c>
      <c r="D148" s="19">
        <f t="shared" si="16"/>
        <v>4.5</v>
      </c>
      <c r="E148" s="19">
        <f t="shared" si="15"/>
        <v>9.539999999999992</v>
      </c>
      <c r="F148" s="20">
        <f t="shared" si="11"/>
        <v>2230.598551293225</v>
      </c>
      <c r="G148" s="21">
        <f t="shared" si="12"/>
        <v>34.06341949645029</v>
      </c>
      <c r="H148" s="17">
        <f t="shared" si="17"/>
        <v>1847.8682269440603</v>
      </c>
      <c r="I148" s="17">
        <f t="shared" si="18"/>
        <v>1249.3810118943095</v>
      </c>
      <c r="J148" s="38">
        <f t="shared" si="13"/>
        <v>13453.014233267175</v>
      </c>
      <c r="K148" s="23">
        <f t="shared" si="14"/>
        <v>5.328735964754607</v>
      </c>
      <c r="L148" s="17">
        <f t="shared" si="19"/>
        <v>13394.873610736577</v>
      </c>
      <c r="M148" s="17">
        <f t="shared" si="20"/>
        <v>1249.3810118943095</v>
      </c>
      <c r="N148" s="20">
        <f t="shared" si="21"/>
        <v>1906.0088494746578</v>
      </c>
      <c r="O148" s="18"/>
      <c r="P148" s="18"/>
    </row>
    <row r="149" spans="1:16" ht="12.75" customHeight="1">
      <c r="A149" s="16">
        <f t="shared" si="7"/>
        <v>0.4672897196261686</v>
      </c>
      <c r="B149" s="19">
        <f t="shared" si="8"/>
        <v>10.629529622706729</v>
      </c>
      <c r="C149" s="21">
        <f t="shared" si="9"/>
        <v>64.95379922035721</v>
      </c>
      <c r="D149" s="19">
        <f t="shared" si="16"/>
        <v>4.5</v>
      </c>
      <c r="E149" s="19">
        <f t="shared" si="15"/>
        <v>9.629999999999992</v>
      </c>
      <c r="F149" s="20">
        <f t="shared" si="11"/>
        <v>2247.8266293137917</v>
      </c>
      <c r="G149" s="21">
        <f t="shared" si="12"/>
        <v>34.270382111381394</v>
      </c>
      <c r="H149" s="17">
        <f t="shared" si="17"/>
        <v>1857.5802960661738</v>
      </c>
      <c r="I149" s="17">
        <f t="shared" si="18"/>
        <v>1265.7487898943098</v>
      </c>
      <c r="J149" s="38">
        <f t="shared" si="13"/>
        <v>13464.213205671975</v>
      </c>
      <c r="K149" s="23">
        <f t="shared" si="14"/>
        <v>5.394248396946743</v>
      </c>
      <c r="L149" s="17">
        <f t="shared" si="19"/>
        <v>13404.58567985869</v>
      </c>
      <c r="M149" s="17">
        <f t="shared" si="20"/>
        <v>1265.7487898943098</v>
      </c>
      <c r="N149" s="20">
        <f t="shared" si="21"/>
        <v>1917.2078218794577</v>
      </c>
      <c r="O149" s="18"/>
      <c r="P149" s="18"/>
    </row>
    <row r="150" spans="1:16" ht="12.75" customHeight="1">
      <c r="A150" s="16">
        <f t="shared" si="7"/>
        <v>0.46296296296296335</v>
      </c>
      <c r="B150" s="19">
        <f t="shared" si="8"/>
        <v>10.711134393704517</v>
      </c>
      <c r="C150" s="21">
        <f t="shared" si="9"/>
        <v>65.1576108945448</v>
      </c>
      <c r="D150" s="19">
        <f t="shared" si="16"/>
        <v>4.5</v>
      </c>
      <c r="E150" s="19">
        <f t="shared" si="15"/>
        <v>9.719999999999992</v>
      </c>
      <c r="F150" s="20">
        <f t="shared" si="11"/>
        <v>2265.0835902366944</v>
      </c>
      <c r="G150" s="21">
        <f t="shared" si="12"/>
        <v>34.47419378556898</v>
      </c>
      <c r="H150" s="17">
        <f t="shared" si="17"/>
        <v>1867.2923651882877</v>
      </c>
      <c r="I150" s="17">
        <f t="shared" si="18"/>
        <v>1282.1165678943094</v>
      </c>
      <c r="J150" s="38">
        <f t="shared" si="13"/>
        <v>13475.429751662119</v>
      </c>
      <c r="K150" s="23">
        <f t="shared" si="14"/>
        <v>5.459651853336672</v>
      </c>
      <c r="L150" s="17">
        <f t="shared" si="19"/>
        <v>13414.297748980805</v>
      </c>
      <c r="M150" s="17">
        <f t="shared" si="20"/>
        <v>1282.1165678943094</v>
      </c>
      <c r="N150" s="20">
        <f t="shared" si="21"/>
        <v>1928.424367869602</v>
      </c>
      <c r="O150" s="18"/>
      <c r="P150" s="18"/>
    </row>
    <row r="151" spans="1:16" ht="12.75" customHeight="1">
      <c r="A151" s="16">
        <f t="shared" si="7"/>
        <v>0.45871559633027564</v>
      </c>
      <c r="B151" s="19">
        <f t="shared" si="8"/>
        <v>10.792872648187776</v>
      </c>
      <c r="C151" s="21">
        <f t="shared" si="9"/>
        <v>65.35833800044163</v>
      </c>
      <c r="D151" s="19">
        <f t="shared" si="16"/>
        <v>4.5</v>
      </c>
      <c r="E151" s="19">
        <f t="shared" si="15"/>
        <v>9.809999999999992</v>
      </c>
      <c r="F151" s="20">
        <f t="shared" si="11"/>
        <v>2282.368778912269</v>
      </c>
      <c r="G151" s="21">
        <f t="shared" si="12"/>
        <v>34.67492089146582</v>
      </c>
      <c r="H151" s="17">
        <f t="shared" si="17"/>
        <v>1877.0044343104016</v>
      </c>
      <c r="I151" s="17">
        <f t="shared" si="18"/>
        <v>1298.484345894309</v>
      </c>
      <c r="J151" s="38">
        <f t="shared" si="13"/>
        <v>13486.663827390974</v>
      </c>
      <c r="K151" s="23">
        <f t="shared" si="14"/>
        <v>5.5249464355888955</v>
      </c>
      <c r="L151" s="17">
        <f t="shared" si="19"/>
        <v>13424.009818102919</v>
      </c>
      <c r="M151" s="17">
        <f t="shared" si="20"/>
        <v>1298.484345894309</v>
      </c>
      <c r="N151" s="20">
        <f t="shared" si="21"/>
        <v>1939.6584435984569</v>
      </c>
      <c r="O151" s="18"/>
      <c r="P151" s="18"/>
    </row>
    <row r="152" spans="1:16" ht="12.75" customHeight="1">
      <c r="A152" s="16">
        <f t="shared" si="7"/>
        <v>0.4545454545454549</v>
      </c>
      <c r="B152" s="19">
        <f t="shared" si="8"/>
        <v>10.874741376235107</v>
      </c>
      <c r="C152" s="21">
        <f t="shared" si="9"/>
        <v>65.55604521958345</v>
      </c>
      <c r="D152" s="19">
        <f t="shared" si="16"/>
        <v>4.5</v>
      </c>
      <c r="E152" s="19">
        <f t="shared" si="15"/>
        <v>9.899999999999991</v>
      </c>
      <c r="F152" s="20">
        <f t="shared" si="11"/>
        <v>2299.6815588324384</v>
      </c>
      <c r="G152" s="21">
        <f t="shared" si="12"/>
        <v>34.872628110607636</v>
      </c>
      <c r="H152" s="17">
        <f t="shared" si="17"/>
        <v>1886.7165034325153</v>
      </c>
      <c r="I152" s="17">
        <f t="shared" si="18"/>
        <v>1314.8521238943094</v>
      </c>
      <c r="J152" s="38">
        <f t="shared" si="13"/>
        <v>13497.915389089467</v>
      </c>
      <c r="K152" s="23">
        <f t="shared" si="14"/>
        <v>5.590132246160894</v>
      </c>
      <c r="L152" s="17">
        <f t="shared" si="19"/>
        <v>13433.721887225032</v>
      </c>
      <c r="M152" s="17">
        <f t="shared" si="20"/>
        <v>1314.8521238943094</v>
      </c>
      <c r="N152" s="20">
        <f t="shared" si="21"/>
        <v>1950.9100052969497</v>
      </c>
      <c r="O152" s="18"/>
      <c r="P152" s="18"/>
    </row>
    <row r="153" spans="1:16" ht="12.75" customHeight="1">
      <c r="A153" s="16">
        <f t="shared" si="7"/>
        <v>0.45045045045045085</v>
      </c>
      <c r="B153" s="19">
        <f t="shared" si="8"/>
        <v>10.956737653152047</v>
      </c>
      <c r="C153" s="21">
        <f t="shared" si="9"/>
        <v>65.7507955895986</v>
      </c>
      <c r="D153" s="19">
        <f t="shared" si="16"/>
        <v>4.5</v>
      </c>
      <c r="E153" s="19">
        <f t="shared" si="15"/>
        <v>9.989999999999991</v>
      </c>
      <c r="F153" s="20">
        <f t="shared" si="11"/>
        <v>2317.0213115120637</v>
      </c>
      <c r="G153" s="21">
        <f t="shared" si="12"/>
        <v>35.06737848062278</v>
      </c>
      <c r="H153" s="17">
        <f t="shared" si="17"/>
        <v>1896.4285725546292</v>
      </c>
      <c r="I153" s="17">
        <f t="shared" si="18"/>
        <v>1331.219901894309</v>
      </c>
      <c r="J153" s="38">
        <f t="shared" si="13"/>
        <v>13509.18439306633</v>
      </c>
      <c r="K153" s="23">
        <f t="shared" si="14"/>
        <v>5.655209388295387</v>
      </c>
      <c r="L153" s="17">
        <f t="shared" si="19"/>
        <v>13443.433956347146</v>
      </c>
      <c r="M153" s="17">
        <f t="shared" si="20"/>
        <v>1331.219901894309</v>
      </c>
      <c r="N153" s="20">
        <f t="shared" si="21"/>
        <v>1962.1790092738138</v>
      </c>
      <c r="O153" s="18"/>
      <c r="P153" s="18"/>
    </row>
    <row r="154" spans="1:16" ht="12.75" customHeight="1">
      <c r="A154" s="16">
        <f t="shared" si="7"/>
        <v>0.44642857142857184</v>
      </c>
      <c r="B154" s="19">
        <f t="shared" si="8"/>
        <v>11.038858636652606</v>
      </c>
      <c r="C154" s="21">
        <f t="shared" si="9"/>
        <v>65.94265054998824</v>
      </c>
      <c r="D154" s="19">
        <f t="shared" si="16"/>
        <v>4.5</v>
      </c>
      <c r="E154" s="19">
        <f t="shared" si="15"/>
        <v>10.079999999999991</v>
      </c>
      <c r="F154" s="20">
        <f t="shared" si="11"/>
        <v>2334.3874358929265</v>
      </c>
      <c r="G154" s="21">
        <f t="shared" si="12"/>
        <v>35.25923344101243</v>
      </c>
      <c r="H154" s="17">
        <f t="shared" si="17"/>
        <v>1906.1406416767427</v>
      </c>
      <c r="I154" s="17">
        <f t="shared" si="18"/>
        <v>1347.587679894309</v>
      </c>
      <c r="J154" s="38">
        <f t="shared" si="13"/>
        <v>13520.470795708345</v>
      </c>
      <c r="K154" s="23">
        <f t="shared" si="14"/>
        <v>5.7201779660126935</v>
      </c>
      <c r="L154" s="17">
        <f t="shared" si="19"/>
        <v>13453.14602546926</v>
      </c>
      <c r="M154" s="17">
        <f t="shared" si="20"/>
        <v>1347.587679894309</v>
      </c>
      <c r="N154" s="20">
        <f t="shared" si="21"/>
        <v>1973.4654119158276</v>
      </c>
      <c r="O154" s="18"/>
      <c r="P154" s="18"/>
    </row>
    <row r="155" spans="1:16" ht="12.75" customHeight="1">
      <c r="A155" s="16">
        <f t="shared" si="7"/>
        <v>0.4424778761061951</v>
      </c>
      <c r="B155" s="19">
        <f t="shared" si="8"/>
        <v>11.121101564143716</v>
      </c>
      <c r="C155" s="21">
        <f t="shared" si="9"/>
        <v>66.13166998669263</v>
      </c>
      <c r="D155" s="19">
        <f t="shared" si="16"/>
        <v>4.5</v>
      </c>
      <c r="E155" s="19">
        <f t="shared" si="15"/>
        <v>10.169999999999991</v>
      </c>
      <c r="F155" s="20">
        <f t="shared" si="11"/>
        <v>2351.7793477694718</v>
      </c>
      <c r="G155" s="21">
        <f t="shared" si="12"/>
        <v>35.44825287771681</v>
      </c>
      <c r="H155" s="17">
        <f t="shared" si="17"/>
        <v>1915.8527107988564</v>
      </c>
      <c r="I155" s="17">
        <f t="shared" si="18"/>
        <v>1363.9554578943093</v>
      </c>
      <c r="J155" s="38">
        <f t="shared" si="13"/>
        <v>13531.774553480564</v>
      </c>
      <c r="K155" s="23">
        <f t="shared" si="14"/>
        <v>5.785038084103055</v>
      </c>
      <c r="L155" s="17">
        <f t="shared" si="19"/>
        <v>13462.858094591373</v>
      </c>
      <c r="M155" s="17">
        <f t="shared" si="20"/>
        <v>1363.9554578943093</v>
      </c>
      <c r="N155" s="20">
        <f t="shared" si="21"/>
        <v>1984.7691696880465</v>
      </c>
      <c r="O155" s="18"/>
      <c r="P155" s="18"/>
    </row>
    <row r="156" spans="1:16" ht="12.75" customHeight="1">
      <c r="A156" s="16">
        <f t="shared" si="7"/>
        <v>0.43859649122807054</v>
      </c>
      <c r="B156" s="19">
        <f t="shared" si="8"/>
        <v>11.203463750108705</v>
      </c>
      <c r="C156" s="21">
        <f t="shared" si="9"/>
        <v>66.31791227546154</v>
      </c>
      <c r="D156" s="19">
        <f aca="true" t="shared" si="22" ref="D156:D187">$J$3</f>
        <v>4.5</v>
      </c>
      <c r="E156" s="19">
        <f t="shared" si="15"/>
        <v>10.259999999999991</v>
      </c>
      <c r="F156" s="20">
        <f t="shared" si="11"/>
        <v>2369.196479235488</v>
      </c>
      <c r="G156" s="21">
        <f t="shared" si="12"/>
        <v>35.63449516648571</v>
      </c>
      <c r="H156" s="17">
        <f aca="true" t="shared" si="23" ref="H156:H187">COS((C156+$D$7)/180*PI())*$C$7*B156</f>
        <v>1925.5647799209703</v>
      </c>
      <c r="I156" s="17">
        <f aca="true" t="shared" si="24" ref="I156:I187">SIN((C156+$D$7)/180*PI())*$C$7*B156</f>
        <v>1380.3232358943092</v>
      </c>
      <c r="J156" s="38">
        <f t="shared" si="13"/>
        <v>13543.095622926563</v>
      </c>
      <c r="K156" s="23">
        <f t="shared" si="14"/>
        <v>5.849789848119039</v>
      </c>
      <c r="L156" s="17">
        <f aca="true" t="shared" si="25" ref="L156:L187">H156+$E$5</f>
        <v>13472.570163713488</v>
      </c>
      <c r="M156" s="17">
        <f aca="true" t="shared" si="26" ref="M156:M187">I156+$F$5</f>
        <v>1380.3232358943092</v>
      </c>
      <c r="N156" s="20">
        <f aca="true" t="shared" si="27" ref="N156:N187">J156-$C$5*1000</f>
        <v>1996.090239134046</v>
      </c>
      <c r="O156" s="18"/>
      <c r="P156" s="18"/>
    </row>
    <row r="157" spans="1:16" ht="12.75" customHeight="1">
      <c r="A157" s="16">
        <f>D157/E157</f>
        <v>0.43478260869565255</v>
      </c>
      <c r="B157" s="19">
        <f>SQRT(D157^2+E157^2)</f>
        <v>11.285942583585998</v>
      </c>
      <c r="C157" s="21">
        <f>ATAN2(D157,E157)*180/PI()</f>
        <v>66.50143432404789</v>
      </c>
      <c r="D157" s="19">
        <f t="shared" si="22"/>
        <v>4.5</v>
      </c>
      <c r="E157" s="19">
        <f t="shared" si="15"/>
        <v>10.34999999999999</v>
      </c>
      <c r="F157" s="20">
        <f>SQRT(H157^2+I157^2)</f>
        <v>2386.638278150931</v>
      </c>
      <c r="G157" s="21">
        <f>ATAN2(H157,I157)*180/PI()</f>
        <v>35.818017215072075</v>
      </c>
      <c r="H157" s="17">
        <f t="shared" si="23"/>
        <v>1935.2768490430838</v>
      </c>
      <c r="I157" s="17">
        <f t="shared" si="24"/>
        <v>1396.6910138943094</v>
      </c>
      <c r="J157" s="38">
        <f>SQRT(L157^2+M157^2)</f>
        <v>13554.433960668652</v>
      </c>
      <c r="K157" s="23">
        <f>ATAN2(L157,M157)*180/PI()</f>
        <v>5.914433364367961</v>
      </c>
      <c r="L157" s="17">
        <f t="shared" si="25"/>
        <v>13482.282232835601</v>
      </c>
      <c r="M157" s="17">
        <f t="shared" si="26"/>
        <v>1396.6910138943094</v>
      </c>
      <c r="N157" s="20">
        <f t="shared" si="27"/>
        <v>2007.4285768761347</v>
      </c>
      <c r="O157" s="18"/>
      <c r="P157" s="18"/>
    </row>
    <row r="158" spans="1:16" ht="12.75" customHeight="1">
      <c r="A158" s="16">
        <f aca="true" t="shared" si="28" ref="A158:A163">D158/E158</f>
        <v>0.43103448275862105</v>
      </c>
      <c r="B158" s="19">
        <f aca="true" t="shared" si="29" ref="B158:B163">SQRT(D158^2+E158^2)</f>
        <v>11.368535525739443</v>
      </c>
      <c r="C158" s="21">
        <f aca="true" t="shared" si="30" ref="C158:C163">ATAN2(D158,E158)*180/PI()</f>
        <v>66.68229161324493</v>
      </c>
      <c r="D158" s="19">
        <f t="shared" si="22"/>
        <v>4.5</v>
      </c>
      <c r="E158" s="19">
        <f t="shared" si="15"/>
        <v>10.43999999999999</v>
      </c>
      <c r="F158" s="20">
        <f aca="true" t="shared" si="31" ref="F158:F163">SQRT(H158^2+I158^2)</f>
        <v>2404.1042076281196</v>
      </c>
      <c r="G158" s="21">
        <f aca="true" t="shared" si="32" ref="G158:G163">ATAN2(H158,I158)*180/PI()</f>
        <v>35.99887450426911</v>
      </c>
      <c r="H158" s="17">
        <f t="shared" si="23"/>
        <v>1944.9889181651972</v>
      </c>
      <c r="I158" s="17">
        <f t="shared" si="24"/>
        <v>1413.0587918943095</v>
      </c>
      <c r="J158" s="38">
        <f aca="true" t="shared" si="33" ref="J158:J163">SQRT(L158^2+M158^2)</f>
        <v>13565.78952340811</v>
      </c>
      <c r="K158" s="23">
        <f aca="true" t="shared" si="34" ref="K158:K163">ATAN2(L158,M158)*180/PI()</f>
        <v>5.978968739904327</v>
      </c>
      <c r="L158" s="17">
        <f t="shared" si="25"/>
        <v>13491.994301957715</v>
      </c>
      <c r="M158" s="17">
        <f t="shared" si="26"/>
        <v>1413.0587918943095</v>
      </c>
      <c r="N158" s="20">
        <f t="shared" si="27"/>
        <v>2018.7841396155927</v>
      </c>
      <c r="O158" s="18"/>
      <c r="P158" s="18"/>
    </row>
    <row r="159" spans="1:16" ht="12.75" customHeight="1">
      <c r="A159" s="16">
        <f t="shared" si="28"/>
        <v>0.4273504273504277</v>
      </c>
      <c r="B159" s="19">
        <f t="shared" si="29"/>
        <v>11.451240107516732</v>
      </c>
      <c r="C159" s="21">
        <f t="shared" si="30"/>
        <v>66.8605382367883</v>
      </c>
      <c r="D159" s="19">
        <f t="shared" si="22"/>
        <v>4.5</v>
      </c>
      <c r="E159" s="19">
        <f t="shared" si="15"/>
        <v>10.52999999999999</v>
      </c>
      <c r="F159" s="20">
        <f t="shared" si="31"/>
        <v>2421.593745536563</v>
      </c>
      <c r="G159" s="21">
        <f t="shared" si="32"/>
        <v>36.177121127812484</v>
      </c>
      <c r="H159" s="17">
        <f t="shared" si="23"/>
        <v>1954.7009872873111</v>
      </c>
      <c r="I159" s="17">
        <f t="shared" si="24"/>
        <v>1429.4265698943098</v>
      </c>
      <c r="J159" s="38">
        <f t="shared" si="33"/>
        <v>13577.162267925409</v>
      </c>
      <c r="K159" s="23">
        <f t="shared" si="34"/>
        <v>6.043396082522333</v>
      </c>
      <c r="L159" s="17">
        <f t="shared" si="25"/>
        <v>13501.706371079828</v>
      </c>
      <c r="M159" s="17">
        <f t="shared" si="26"/>
        <v>1429.4265698943098</v>
      </c>
      <c r="N159" s="20">
        <f t="shared" si="27"/>
        <v>2030.1568841328917</v>
      </c>
      <c r="O159" s="18"/>
      <c r="P159" s="18"/>
    </row>
    <row r="160" spans="1:16" ht="12.75" customHeight="1">
      <c r="A160" s="16">
        <f t="shared" si="28"/>
        <v>0.4237288135593224</v>
      </c>
      <c r="B160" s="19">
        <f t="shared" si="29"/>
        <v>11.534053927392561</v>
      </c>
      <c r="C160" s="21">
        <f t="shared" si="30"/>
        <v>67.03622694014543</v>
      </c>
      <c r="D160" s="19">
        <f t="shared" si="22"/>
        <v>4.5</v>
      </c>
      <c r="E160" s="19">
        <f t="shared" si="15"/>
        <v>10.61999999999999</v>
      </c>
      <c r="F160" s="20">
        <f t="shared" si="31"/>
        <v>2439.1063840257048</v>
      </c>
      <c r="G160" s="21">
        <f t="shared" si="32"/>
        <v>36.35280983116961</v>
      </c>
      <c r="H160" s="17">
        <f t="shared" si="23"/>
        <v>1964.4130564094253</v>
      </c>
      <c r="I160" s="17">
        <f t="shared" si="24"/>
        <v>1445.7943478943087</v>
      </c>
      <c r="J160" s="38">
        <f t="shared" si="33"/>
        <v>13588.552151080416</v>
      </c>
      <c r="K160" s="23">
        <f t="shared" si="34"/>
        <v>6.107715500748376</v>
      </c>
      <c r="L160" s="17">
        <f t="shared" si="25"/>
        <v>13511.418440201942</v>
      </c>
      <c r="M160" s="17">
        <f t="shared" si="26"/>
        <v>1445.7943478943087</v>
      </c>
      <c r="N160" s="20">
        <f t="shared" si="27"/>
        <v>2041.5467672878985</v>
      </c>
      <c r="O160" s="18"/>
      <c r="P160" s="18"/>
    </row>
    <row r="161" spans="1:16" ht="12.75" customHeight="1">
      <c r="A161" s="16">
        <f t="shared" si="28"/>
        <v>0.42016806722689115</v>
      </c>
      <c r="B161" s="19">
        <f t="shared" si="29"/>
        <v>11.616974649193299</v>
      </c>
      <c r="C161" s="21">
        <f t="shared" si="30"/>
        <v>67.20940915821495</v>
      </c>
      <c r="D161" s="19">
        <f t="shared" si="22"/>
        <v>4.5</v>
      </c>
      <c r="E161" s="19">
        <f t="shared" si="15"/>
        <v>10.70999999999999</v>
      </c>
      <c r="F161" s="20">
        <f t="shared" si="31"/>
        <v>2456.641629064907</v>
      </c>
      <c r="G161" s="21">
        <f t="shared" si="32"/>
        <v>36.52599204923914</v>
      </c>
      <c r="H161" s="17">
        <f t="shared" si="23"/>
        <v>1974.1251255315392</v>
      </c>
      <c r="I161" s="17">
        <f t="shared" si="24"/>
        <v>1462.162125894309</v>
      </c>
      <c r="J161" s="38">
        <f t="shared" si="33"/>
        <v>13599.959129812616</v>
      </c>
      <c r="K161" s="23">
        <f t="shared" si="34"/>
        <v>6.171927103833632</v>
      </c>
      <c r="L161" s="17">
        <f t="shared" si="25"/>
        <v>13521.130509324055</v>
      </c>
      <c r="M161" s="17">
        <f t="shared" si="26"/>
        <v>1462.162125894309</v>
      </c>
      <c r="N161" s="20">
        <f t="shared" si="27"/>
        <v>2052.953746020099</v>
      </c>
      <c r="O161" s="18"/>
      <c r="P161" s="18"/>
    </row>
    <row r="162" spans="1:16" ht="12.75" customHeight="1">
      <c r="A162" s="16">
        <f t="shared" si="28"/>
        <v>0.4166666666666671</v>
      </c>
      <c r="B162" s="19">
        <f t="shared" si="29"/>
        <v>11.69999999999999</v>
      </c>
      <c r="C162" s="21">
        <f t="shared" si="30"/>
        <v>67.38013505195956</v>
      </c>
      <c r="D162" s="19">
        <f t="shared" si="22"/>
        <v>4.5</v>
      </c>
      <c r="E162" s="19">
        <f t="shared" si="15"/>
        <v>10.79999999999999</v>
      </c>
      <c r="F162" s="20">
        <f t="shared" si="31"/>
        <v>2474.1989999999983</v>
      </c>
      <c r="G162" s="21">
        <f t="shared" si="32"/>
        <v>36.696717942983746</v>
      </c>
      <c r="H162" s="17">
        <f t="shared" si="23"/>
        <v>1983.837194653653</v>
      </c>
      <c r="I162" s="17">
        <f t="shared" si="24"/>
        <v>1478.5299038943092</v>
      </c>
      <c r="J162" s="38">
        <f t="shared" si="33"/>
        <v>13611.38316114132</v>
      </c>
      <c r="K162" s="23">
        <f t="shared" si="34"/>
        <v>6.236031001746611</v>
      </c>
      <c r="L162" s="17">
        <f t="shared" si="25"/>
        <v>13530.84257844617</v>
      </c>
      <c r="M162" s="17">
        <f t="shared" si="26"/>
        <v>1478.5299038943092</v>
      </c>
      <c r="N162" s="20">
        <f t="shared" si="27"/>
        <v>2064.3777773488036</v>
      </c>
      <c r="O162" s="18"/>
      <c r="P162" s="18"/>
    </row>
    <row r="163" spans="1:16" ht="12.75" customHeight="1">
      <c r="A163" s="16">
        <f t="shared" si="28"/>
        <v>0.41322314049586817</v>
      </c>
      <c r="B163" s="19">
        <f t="shared" si="29"/>
        <v>11.783127768126754</v>
      </c>
      <c r="C163" s="21">
        <f t="shared" si="30"/>
        <v>67.5484535439961</v>
      </c>
      <c r="D163" s="19">
        <f t="shared" si="22"/>
        <v>4.5</v>
      </c>
      <c r="E163" s="19">
        <f>E162+0.02*$E$92</f>
        <v>10.88999999999999</v>
      </c>
      <c r="F163" s="20">
        <f t="shared" si="31"/>
        <v>2491.7780291257645</v>
      </c>
      <c r="G163" s="21">
        <f t="shared" si="32"/>
        <v>36.86503643502028</v>
      </c>
      <c r="H163" s="17">
        <f t="shared" si="23"/>
        <v>1993.5492637757668</v>
      </c>
      <c r="I163" s="17">
        <f t="shared" si="24"/>
        <v>1494.8976818943088</v>
      </c>
      <c r="J163" s="38">
        <f t="shared" si="33"/>
        <v>13622.824202165864</v>
      </c>
      <c r="K163" s="23">
        <f t="shared" si="34"/>
        <v>6.300027305165803</v>
      </c>
      <c r="L163" s="17">
        <f t="shared" si="25"/>
        <v>13540.554647568284</v>
      </c>
      <c r="M163" s="17">
        <f t="shared" si="26"/>
        <v>1494.8976818943088</v>
      </c>
      <c r="N163" s="20">
        <f t="shared" si="27"/>
        <v>2075.8188183733473</v>
      </c>
      <c r="O163" s="18"/>
      <c r="P163" s="18"/>
    </row>
    <row r="164" spans="1:16" ht="12.75" customHeight="1">
      <c r="A164" s="16">
        <f aca="true" t="shared" si="35" ref="A164:A176">D164/E164</f>
        <v>0.4098360655737709</v>
      </c>
      <c r="B164" s="19">
        <f aca="true" t="shared" si="36" ref="B164:B176">SQRT(D164^2+E164^2)</f>
        <v>11.866355801171638</v>
      </c>
      <c r="C164" s="21">
        <f aca="true" t="shared" si="37" ref="C164:C176">ATAN2(D164,E164)*180/PI()</f>
        <v>67.71441235316722</v>
      </c>
      <c r="D164" s="19">
        <f t="shared" si="22"/>
        <v>4.5</v>
      </c>
      <c r="E164" s="19">
        <f aca="true" t="shared" si="38" ref="E164:E176">E163+0.02*$E$92</f>
        <v>10.97999999999999</v>
      </c>
      <c r="F164" s="20">
        <f aca="true" t="shared" si="39" ref="F164:F176">SQRT(H164^2+I164^2)</f>
        <v>2509.378261273766</v>
      </c>
      <c r="G164" s="21">
        <f aca="true" t="shared" si="40" ref="G164:G176">ATAN2(H164,I164)*180/PI()</f>
        <v>37.0309952441914</v>
      </c>
      <c r="H164" s="17">
        <f t="shared" si="23"/>
        <v>2003.2613328978803</v>
      </c>
      <c r="I164" s="17">
        <f t="shared" si="24"/>
        <v>1511.265459894309</v>
      </c>
      <c r="J164" s="38">
        <f aca="true" t="shared" si="41" ref="J164:J176">SQRT(L164^2+M164^2)</f>
        <v>13634.282210065814</v>
      </c>
      <c r="K164" s="23">
        <f aca="true" t="shared" si="42" ref="K164:K176">ATAN2(L164,M164)*180/PI()</f>
        <v>6.363916125472335</v>
      </c>
      <c r="L164" s="17">
        <f t="shared" si="25"/>
        <v>13550.266716690398</v>
      </c>
      <c r="M164" s="17">
        <f t="shared" si="26"/>
        <v>1511.265459894309</v>
      </c>
      <c r="N164" s="20">
        <f t="shared" si="27"/>
        <v>2087.276826273297</v>
      </c>
      <c r="O164" s="18"/>
      <c r="P164" s="18"/>
    </row>
    <row r="165" spans="1:16" ht="12.75" customHeight="1">
      <c r="A165" s="16">
        <f t="shared" si="35"/>
        <v>0.4065040650406508</v>
      </c>
      <c r="B165" s="19">
        <f t="shared" si="36"/>
        <v>11.949682004137172</v>
      </c>
      <c r="C165" s="21">
        <f t="shared" si="37"/>
        <v>67.87805802811813</v>
      </c>
      <c r="D165" s="19">
        <f t="shared" si="22"/>
        <v>4.5</v>
      </c>
      <c r="E165" s="19">
        <f t="shared" si="38"/>
        <v>11.06999999999999</v>
      </c>
      <c r="F165" s="20">
        <f t="shared" si="39"/>
        <v>2526.999253414888</v>
      </c>
      <c r="G165" s="21">
        <f t="shared" si="40"/>
        <v>37.19464091914231</v>
      </c>
      <c r="H165" s="17">
        <f t="shared" si="23"/>
        <v>2012.9734020199944</v>
      </c>
      <c r="I165" s="17">
        <f t="shared" si="24"/>
        <v>1527.6332378943089</v>
      </c>
      <c r="J165" s="38">
        <f t="shared" si="41"/>
        <v>13645.757142101158</v>
      </c>
      <c r="K165" s="23">
        <f t="shared" si="42"/>
        <v>6.427697574742646</v>
      </c>
      <c r="L165" s="17">
        <f t="shared" si="25"/>
        <v>13559.978785812511</v>
      </c>
      <c r="M165" s="17">
        <f t="shared" si="26"/>
        <v>1527.6332378943089</v>
      </c>
      <c r="N165" s="20">
        <f t="shared" si="27"/>
        <v>2098.751758308641</v>
      </c>
      <c r="O165" s="18"/>
      <c r="P165" s="18"/>
    </row>
    <row r="166" spans="1:16" ht="12.75" customHeight="1">
      <c r="A166" s="16">
        <f t="shared" si="35"/>
        <v>0.40322580645161327</v>
      </c>
      <c r="B166" s="19">
        <f t="shared" si="36"/>
        <v>12.033104337617942</v>
      </c>
      <c r="C166" s="21">
        <f t="shared" si="37"/>
        <v>68.03943597990352</v>
      </c>
      <c r="D166" s="19">
        <f t="shared" si="22"/>
        <v>4.5</v>
      </c>
      <c r="E166" s="19">
        <f t="shared" si="38"/>
        <v>11.15999999999999</v>
      </c>
      <c r="F166" s="20">
        <f t="shared" si="39"/>
        <v>2544.6405742760658</v>
      </c>
      <c r="G166" s="21">
        <f t="shared" si="40"/>
        <v>37.3560188709277</v>
      </c>
      <c r="H166" s="17">
        <f t="shared" si="23"/>
        <v>2022.6854711421074</v>
      </c>
      <c r="I166" s="17">
        <f t="shared" si="24"/>
        <v>1544.0010158943087</v>
      </c>
      <c r="J166" s="38">
        <f t="shared" si="41"/>
        <v>13657.248955612513</v>
      </c>
      <c r="K166" s="23">
        <f t="shared" si="42"/>
        <v>6.491371765741229</v>
      </c>
      <c r="L166" s="17">
        <f t="shared" si="25"/>
        <v>13569.690854934624</v>
      </c>
      <c r="M166" s="17">
        <f t="shared" si="26"/>
        <v>1544.0010158943087</v>
      </c>
      <c r="N166" s="20">
        <f t="shared" si="27"/>
        <v>2110.243571819996</v>
      </c>
      <c r="O166" s="18"/>
      <c r="P166" s="18"/>
    </row>
    <row r="167" spans="1:16" ht="12.75" customHeight="1">
      <c r="A167" s="16">
        <f t="shared" si="35"/>
        <v>0.40000000000000036</v>
      </c>
      <c r="B167" s="19">
        <f t="shared" si="36"/>
        <v>12.116620816052624</v>
      </c>
      <c r="C167" s="21">
        <f t="shared" si="37"/>
        <v>68.19859051364817</v>
      </c>
      <c r="D167" s="19">
        <f t="shared" si="22"/>
        <v>4.5</v>
      </c>
      <c r="E167" s="19">
        <f t="shared" si="38"/>
        <v>11.24999999999999</v>
      </c>
      <c r="F167" s="20">
        <f t="shared" si="39"/>
        <v>2562.3018039706485</v>
      </c>
      <c r="G167" s="21">
        <f t="shared" si="40"/>
        <v>37.515173404672346</v>
      </c>
      <c r="H167" s="17">
        <f t="shared" si="23"/>
        <v>2032.3975402642218</v>
      </c>
      <c r="I167" s="17">
        <f t="shared" si="24"/>
        <v>1560.3687938943087</v>
      </c>
      <c r="J167" s="38">
        <f t="shared" si="41"/>
        <v>13668.75760802129</v>
      </c>
      <c r="K167" s="23">
        <f t="shared" si="42"/>
        <v>6.554938811913377</v>
      </c>
      <c r="L167" s="17">
        <f t="shared" si="25"/>
        <v>13579.40292405674</v>
      </c>
      <c r="M167" s="17">
        <f t="shared" si="26"/>
        <v>1560.3687938943087</v>
      </c>
      <c r="N167" s="20">
        <f t="shared" si="27"/>
        <v>2121.7522242287723</v>
      </c>
      <c r="O167" s="18"/>
      <c r="P167" s="18"/>
    </row>
    <row r="168" spans="1:16" ht="12.75" customHeight="1">
      <c r="A168" s="16">
        <f t="shared" si="35"/>
        <v>0.3968253968253972</v>
      </c>
      <c r="B168" s="19">
        <f t="shared" si="36"/>
        <v>12.200229506037982</v>
      </c>
      <c r="C168" s="21">
        <f t="shared" si="37"/>
        <v>68.35556485928599</v>
      </c>
      <c r="D168" s="19">
        <f t="shared" si="22"/>
        <v>4.5</v>
      </c>
      <c r="E168" s="19">
        <f t="shared" si="38"/>
        <v>11.33999999999999</v>
      </c>
      <c r="F168" s="20">
        <f t="shared" si="39"/>
        <v>2579.982533641852</v>
      </c>
      <c r="G168" s="21">
        <f t="shared" si="40"/>
        <v>37.67214775031017</v>
      </c>
      <c r="H168" s="17">
        <f t="shared" si="23"/>
        <v>2042.1096093863355</v>
      </c>
      <c r="I168" s="17">
        <f t="shared" si="24"/>
        <v>1576.7365718943092</v>
      </c>
      <c r="J168" s="38">
        <f t="shared" si="41"/>
        <v>13680.283056829903</v>
      </c>
      <c r="K168" s="23">
        <f t="shared" si="42"/>
        <v>6.618398827377994</v>
      </c>
      <c r="L168" s="17">
        <f t="shared" si="25"/>
        <v>13589.114993178853</v>
      </c>
      <c r="M168" s="17">
        <f t="shared" si="26"/>
        <v>1576.7365718943092</v>
      </c>
      <c r="N168" s="20">
        <f t="shared" si="27"/>
        <v>2133.277673037386</v>
      </c>
      <c r="O168" s="18"/>
      <c r="P168" s="18"/>
    </row>
    <row r="169" spans="1:16" ht="12.75" customHeight="1">
      <c r="A169" s="16">
        <f t="shared" si="35"/>
        <v>0.39370078740157516</v>
      </c>
      <c r="B169" s="19">
        <f t="shared" si="36"/>
        <v>12.283928524702501</v>
      </c>
      <c r="C169" s="21">
        <f t="shared" si="37"/>
        <v>68.51040120140098</v>
      </c>
      <c r="D169" s="19">
        <f t="shared" si="22"/>
        <v>4.5</v>
      </c>
      <c r="E169" s="19">
        <f t="shared" si="38"/>
        <v>11.429999999999989</v>
      </c>
      <c r="F169" s="20">
        <f t="shared" si="39"/>
        <v>2597.682365118838</v>
      </c>
      <c r="G169" s="21">
        <f t="shared" si="40"/>
        <v>37.82698409242517</v>
      </c>
      <c r="H169" s="17">
        <f t="shared" si="23"/>
        <v>2051.821678508449</v>
      </c>
      <c r="I169" s="17">
        <f t="shared" si="24"/>
        <v>1593.1043498943093</v>
      </c>
      <c r="J169" s="38">
        <f t="shared" si="41"/>
        <v>13691.825259621937</v>
      </c>
      <c r="K169" s="23">
        <f t="shared" si="42"/>
        <v>6.681751926920396</v>
      </c>
      <c r="L169" s="17">
        <f t="shared" si="25"/>
        <v>13598.827062300967</v>
      </c>
      <c r="M169" s="17">
        <f t="shared" si="26"/>
        <v>1593.1043498943093</v>
      </c>
      <c r="N169" s="20">
        <f t="shared" si="27"/>
        <v>2144.81987582942</v>
      </c>
      <c r="O169" s="18"/>
      <c r="P169" s="18"/>
    </row>
    <row r="170" spans="1:16" ht="12.75" customHeight="1">
      <c r="A170" s="16">
        <f t="shared" si="35"/>
        <v>0.3906250000000004</v>
      </c>
      <c r="B170" s="19">
        <f t="shared" si="36"/>
        <v>12.367716038137345</v>
      </c>
      <c r="C170" s="21">
        <f t="shared" si="37"/>
        <v>68.66314070819433</v>
      </c>
      <c r="D170" s="19">
        <f t="shared" si="22"/>
        <v>4.5</v>
      </c>
      <c r="E170" s="19">
        <f t="shared" si="38"/>
        <v>11.519999999999989</v>
      </c>
      <c r="F170" s="20">
        <f t="shared" si="39"/>
        <v>2615.4009105849045</v>
      </c>
      <c r="G170" s="21">
        <f t="shared" si="40"/>
        <v>37.97972359921852</v>
      </c>
      <c r="H170" s="17">
        <f t="shared" si="23"/>
        <v>2061.5337476305626</v>
      </c>
      <c r="I170" s="17">
        <f t="shared" si="24"/>
        <v>1609.4721278943089</v>
      </c>
      <c r="J170" s="38">
        <f t="shared" si="41"/>
        <v>13703.384174062328</v>
      </c>
      <c r="K170" s="23">
        <f t="shared" si="42"/>
        <v>6.744998225985198</v>
      </c>
      <c r="L170" s="17">
        <f t="shared" si="25"/>
        <v>13608.53913142308</v>
      </c>
      <c r="M170" s="17">
        <f t="shared" si="26"/>
        <v>1609.4721278943089</v>
      </c>
      <c r="N170" s="20">
        <f t="shared" si="27"/>
        <v>2156.3787902698114</v>
      </c>
      <c r="O170" s="18"/>
      <c r="P170" s="18"/>
    </row>
    <row r="171" spans="1:16" ht="12.75" customHeight="1">
      <c r="A171" s="16">
        <f t="shared" si="35"/>
        <v>0.38759689922480656</v>
      </c>
      <c r="B171" s="19">
        <f t="shared" si="36"/>
        <v>12.45159025988246</v>
      </c>
      <c r="C171" s="21">
        <f t="shared" si="37"/>
        <v>68.81382355960085</v>
      </c>
      <c r="D171" s="19">
        <f t="shared" si="22"/>
        <v>4.5</v>
      </c>
      <c r="E171" s="19">
        <f t="shared" si="38"/>
        <v>11.609999999999989</v>
      </c>
      <c r="F171" s="20">
        <f t="shared" si="39"/>
        <v>2633.1377922573433</v>
      </c>
      <c r="G171" s="21">
        <f t="shared" si="40"/>
        <v>38.13040645062503</v>
      </c>
      <c r="H171" s="17">
        <f t="shared" si="23"/>
        <v>2071.2458167526765</v>
      </c>
      <c r="I171" s="17">
        <f t="shared" si="24"/>
        <v>1625.8399058943087</v>
      </c>
      <c r="J171" s="38">
        <f t="shared" si="41"/>
        <v>13714.959757897543</v>
      </c>
      <c r="K171" s="23">
        <f t="shared" si="42"/>
        <v>6.808137840669202</v>
      </c>
      <c r="L171" s="17">
        <f t="shared" si="25"/>
        <v>13618.251200545194</v>
      </c>
      <c r="M171" s="17">
        <f t="shared" si="26"/>
        <v>1625.8399058943087</v>
      </c>
      <c r="N171" s="20">
        <f t="shared" si="27"/>
        <v>2167.9543741050256</v>
      </c>
      <c r="O171" s="18"/>
      <c r="P171" s="18"/>
    </row>
    <row r="172" spans="1:16" ht="12.75" customHeight="1">
      <c r="A172" s="16">
        <f t="shared" si="35"/>
        <v>0.38461538461538497</v>
      </c>
      <c r="B172" s="19">
        <f t="shared" si="36"/>
        <v>12.535549449465696</v>
      </c>
      <c r="C172" s="21">
        <f t="shared" si="37"/>
        <v>68.96248897457816</v>
      </c>
      <c r="D172" s="19">
        <f t="shared" si="22"/>
        <v>4.5</v>
      </c>
      <c r="E172" s="19">
        <f t="shared" si="38"/>
        <v>11.699999999999989</v>
      </c>
      <c r="F172" s="20">
        <f t="shared" si="39"/>
        <v>2650.8926420785106</v>
      </c>
      <c r="G172" s="21">
        <f t="shared" si="40"/>
        <v>38.27907186560235</v>
      </c>
      <c r="H172" s="17">
        <f t="shared" si="23"/>
        <v>2080.9578858747905</v>
      </c>
      <c r="I172" s="17">
        <f t="shared" si="24"/>
        <v>1642.2076838943087</v>
      </c>
      <c r="J172" s="38">
        <f t="shared" si="41"/>
        <v>13726.551968955742</v>
      </c>
      <c r="K172" s="23">
        <f t="shared" si="42"/>
        <v>6.87117088771433</v>
      </c>
      <c r="L172" s="17">
        <f t="shared" si="25"/>
        <v>13627.963269667307</v>
      </c>
      <c r="M172" s="17">
        <f t="shared" si="26"/>
        <v>1642.2076838943087</v>
      </c>
      <c r="N172" s="20">
        <f t="shared" si="27"/>
        <v>2179.5465851632252</v>
      </c>
      <c r="O172" s="18"/>
      <c r="P172" s="18"/>
    </row>
    <row r="173" spans="1:16" ht="12.75" customHeight="1">
      <c r="A173" s="16">
        <f t="shared" si="35"/>
        <v>0.38167938931297746</v>
      </c>
      <c r="B173" s="19">
        <f t="shared" si="36"/>
        <v>12.619591910992991</v>
      </c>
      <c r="C173" s="21">
        <f t="shared" si="37"/>
        <v>69.10917523759151</v>
      </c>
      <c r="D173" s="19">
        <f t="shared" si="22"/>
        <v>4.5</v>
      </c>
      <c r="E173" s="19">
        <f t="shared" si="38"/>
        <v>11.789999999999988</v>
      </c>
      <c r="F173" s="20">
        <f t="shared" si="39"/>
        <v>2668.6651014176878</v>
      </c>
      <c r="G173" s="21">
        <f t="shared" si="40"/>
        <v>38.425758128615705</v>
      </c>
      <c r="H173" s="17">
        <f t="shared" si="23"/>
        <v>2090.669954996904</v>
      </c>
      <c r="I173" s="17">
        <f t="shared" si="24"/>
        <v>1658.5754618943092</v>
      </c>
      <c r="J173" s="38">
        <f t="shared" si="41"/>
        <v>13738.160765146951</v>
      </c>
      <c r="K173" s="23">
        <f t="shared" si="42"/>
        <v>6.9340974845005805</v>
      </c>
      <c r="L173" s="17">
        <f t="shared" si="25"/>
        <v>13637.67533878942</v>
      </c>
      <c r="M173" s="17">
        <f t="shared" si="26"/>
        <v>1658.5754618943092</v>
      </c>
      <c r="N173" s="20">
        <f t="shared" si="27"/>
        <v>2191.155381354434</v>
      </c>
      <c r="O173" s="18"/>
      <c r="P173" s="18"/>
    </row>
    <row r="174" spans="1:16" ht="12.75" customHeight="1">
      <c r="A174" s="16">
        <f t="shared" si="35"/>
        <v>0.3787878787878792</v>
      </c>
      <c r="B174" s="19">
        <f t="shared" si="36"/>
        <v>12.703715991787588</v>
      </c>
      <c r="C174" s="21">
        <f t="shared" si="37"/>
        <v>69.25391972431657</v>
      </c>
      <c r="D174" s="19">
        <f t="shared" si="22"/>
        <v>4.5</v>
      </c>
      <c r="E174" s="19">
        <f t="shared" si="38"/>
        <v>11.879999999999988</v>
      </c>
      <c r="F174" s="20">
        <f t="shared" si="39"/>
        <v>2686.4548207833213</v>
      </c>
      <c r="G174" s="21">
        <f t="shared" si="40"/>
        <v>38.57050261534076</v>
      </c>
      <c r="H174" s="17">
        <f t="shared" si="23"/>
        <v>2100.382024119018</v>
      </c>
      <c r="I174" s="17">
        <f t="shared" si="24"/>
        <v>1674.9432398943088</v>
      </c>
      <c r="J174" s="38">
        <f t="shared" si="41"/>
        <v>13749.786104463223</v>
      </c>
      <c r="K174" s="23">
        <f t="shared" si="42"/>
        <v>6.996917749039039</v>
      </c>
      <c r="L174" s="17">
        <f t="shared" si="25"/>
        <v>13647.387407911534</v>
      </c>
      <c r="M174" s="17">
        <f t="shared" si="26"/>
        <v>1674.9432398943088</v>
      </c>
      <c r="N174" s="20">
        <f t="shared" si="27"/>
        <v>2202.7807206707057</v>
      </c>
      <c r="O174" s="18"/>
      <c r="P174" s="18"/>
    </row>
    <row r="175" spans="1:16" ht="12.75" customHeight="1">
      <c r="A175" s="16">
        <f t="shared" si="35"/>
        <v>0.3759398496240605</v>
      </c>
      <c r="B175" s="19">
        <f t="shared" si="36"/>
        <v>12.787920081076505</v>
      </c>
      <c r="C175" s="21">
        <f t="shared" si="37"/>
        <v>69.39675892658265</v>
      </c>
      <c r="D175" s="19">
        <f t="shared" si="22"/>
        <v>4.5</v>
      </c>
      <c r="E175" s="19">
        <f t="shared" si="38"/>
        <v>11.969999999999988</v>
      </c>
      <c r="F175" s="20">
        <f t="shared" si="39"/>
        <v>2704.2614595452487</v>
      </c>
      <c r="G175" s="21">
        <f t="shared" si="40"/>
        <v>38.71334181760684</v>
      </c>
      <c r="H175" s="17">
        <f t="shared" si="23"/>
        <v>2110.094093241132</v>
      </c>
      <c r="I175" s="17">
        <f t="shared" si="24"/>
        <v>1691.3110178943089</v>
      </c>
      <c r="J175" s="38">
        <f t="shared" si="41"/>
        <v>13761.427944978801</v>
      </c>
      <c r="K175" s="23">
        <f t="shared" si="42"/>
        <v>7.059631799964916</v>
      </c>
      <c r="L175" s="17">
        <f t="shared" si="25"/>
        <v>13657.09947703365</v>
      </c>
      <c r="M175" s="17">
        <f t="shared" si="26"/>
        <v>1691.3110178943089</v>
      </c>
      <c r="N175" s="20">
        <f t="shared" si="27"/>
        <v>2214.422561186284</v>
      </c>
      <c r="O175" s="18"/>
      <c r="P175" s="18"/>
    </row>
    <row r="176" spans="1:16" ht="12.75" customHeight="1">
      <c r="A176" s="16">
        <f t="shared" si="35"/>
        <v>0.3731343283582093</v>
      </c>
      <c r="B176" s="19">
        <f t="shared" si="36"/>
        <v>12.872202608722398</v>
      </c>
      <c r="C176" s="21">
        <f t="shared" si="37"/>
        <v>69.53772847657777</v>
      </c>
      <c r="D176" s="19">
        <f t="shared" si="22"/>
        <v>4.5</v>
      </c>
      <c r="E176" s="19">
        <f t="shared" si="38"/>
        <v>12.059999999999988</v>
      </c>
      <c r="F176" s="20">
        <f t="shared" si="39"/>
        <v>2722.0846856665253</v>
      </c>
      <c r="G176" s="21">
        <f t="shared" si="40"/>
        <v>38.85431136760196</v>
      </c>
      <c r="H176" s="17">
        <f t="shared" si="23"/>
        <v>2119.8061623632457</v>
      </c>
      <c r="I176" s="17">
        <f t="shared" si="24"/>
        <v>1707.6787958943085</v>
      </c>
      <c r="J176" s="38">
        <f t="shared" si="41"/>
        <v>13773.086244850263</v>
      </c>
      <c r="K176" s="23">
        <f t="shared" si="42"/>
        <v>7.12223975653061</v>
      </c>
      <c r="L176" s="17">
        <f t="shared" si="25"/>
        <v>13666.811546155763</v>
      </c>
      <c r="M176" s="17">
        <f t="shared" si="26"/>
        <v>1707.6787958943085</v>
      </c>
      <c r="N176" s="20">
        <f t="shared" si="27"/>
        <v>2226.080861057746</v>
      </c>
      <c r="O176" s="18"/>
      <c r="P176" s="18"/>
    </row>
    <row r="177" spans="1:16" ht="12.75" customHeight="1">
      <c r="A177" s="16">
        <f aca="true" t="shared" si="43" ref="A177:A205">D177/E177</f>
        <v>0.37037037037037074</v>
      </c>
      <c r="B177" s="19">
        <f aca="true" t="shared" si="44" ref="B177:B205">SQRT(D177^2+E177^2)</f>
        <v>12.956562043999162</v>
      </c>
      <c r="C177" s="21">
        <f aca="true" t="shared" si="45" ref="C177:C205">ATAN2(D177,E177)*180/PI()</f>
        <v>69.67686317033704</v>
      </c>
      <c r="D177" s="19">
        <f t="shared" si="22"/>
        <v>4.5</v>
      </c>
      <c r="E177" s="19">
        <f aca="true" t="shared" si="46" ref="E177:E205">E176+0.02*$E$92</f>
        <v>12.149999999999988</v>
      </c>
      <c r="F177" s="20">
        <f aca="true" t="shared" si="47" ref="F177:F205">SQRT(H177^2+I177^2)</f>
        <v>2739.9241754445025</v>
      </c>
      <c r="G177" s="21">
        <f aca="true" t="shared" si="48" ref="G177:G205">ATAN2(H177,I177)*180/PI()</f>
        <v>38.99344606136123</v>
      </c>
      <c r="H177" s="17">
        <f t="shared" si="23"/>
        <v>2129.518231485359</v>
      </c>
      <c r="I177" s="17">
        <f t="shared" si="24"/>
        <v>1724.046573894309</v>
      </c>
      <c r="J177" s="38">
        <f aca="true" t="shared" si="49" ref="J177:J205">SQRT(L177^2+M177^2)</f>
        <v>13784.76096231669</v>
      </c>
      <c r="K177" s="23">
        <f aca="true" t="shared" si="50" ref="K177:K205">ATAN2(L177,M177)*180/PI()</f>
        <v>7.184741738598818</v>
      </c>
      <c r="L177" s="17">
        <f t="shared" si="25"/>
        <v>13676.523615277876</v>
      </c>
      <c r="M177" s="17">
        <f t="shared" si="26"/>
        <v>1724.046573894309</v>
      </c>
      <c r="N177" s="20">
        <f t="shared" si="27"/>
        <v>2237.755578524173</v>
      </c>
      <c r="O177" s="18"/>
      <c r="P177" s="18"/>
    </row>
    <row r="178" spans="1:16" ht="12.75" customHeight="1">
      <c r="A178" s="16">
        <f t="shared" si="43"/>
        <v>0.36764705882352977</v>
      </c>
      <c r="B178" s="19">
        <f t="shared" si="44"/>
        <v>13.040996894409558</v>
      </c>
      <c r="C178" s="21">
        <f t="shared" si="45"/>
        <v>69.81419699053512</v>
      </c>
      <c r="D178" s="19">
        <f t="shared" si="22"/>
        <v>4.5</v>
      </c>
      <c r="E178" s="19">
        <f t="shared" si="46"/>
        <v>12.239999999999988</v>
      </c>
      <c r="F178" s="20">
        <f t="shared" si="47"/>
        <v>2757.779613260789</v>
      </c>
      <c r="G178" s="21">
        <f t="shared" si="48"/>
        <v>39.13077988155931</v>
      </c>
      <c r="H178" s="17">
        <f t="shared" si="23"/>
        <v>2139.2303006074735</v>
      </c>
      <c r="I178" s="17">
        <f t="shared" si="24"/>
        <v>1740.4143518943088</v>
      </c>
      <c r="J178" s="38">
        <f t="shared" si="49"/>
        <v>13796.452055699805</v>
      </c>
      <c r="K178" s="23">
        <f t="shared" si="50"/>
        <v>7.247137866635663</v>
      </c>
      <c r="L178" s="17">
        <f t="shared" si="25"/>
        <v>13686.235684399991</v>
      </c>
      <c r="M178" s="17">
        <f t="shared" si="26"/>
        <v>1740.4143518943088</v>
      </c>
      <c r="N178" s="20">
        <f t="shared" si="27"/>
        <v>2249.446671907288</v>
      </c>
      <c r="O178" s="18"/>
      <c r="P178" s="18"/>
    </row>
    <row r="179" spans="1:16" ht="12.75" customHeight="1">
      <c r="A179" s="16">
        <f t="shared" si="43"/>
        <v>0.3649635036496354</v>
      </c>
      <c r="B179" s="19">
        <f t="shared" si="44"/>
        <v>13.125505704543338</v>
      </c>
      <c r="C179" s="21">
        <f t="shared" si="45"/>
        <v>69.94976312860332</v>
      </c>
      <c r="D179" s="19">
        <f t="shared" si="22"/>
        <v>4.5</v>
      </c>
      <c r="E179" s="19">
        <f t="shared" si="46"/>
        <v>12.329999999999988</v>
      </c>
      <c r="F179" s="20">
        <f t="shared" si="47"/>
        <v>2775.6506913397793</v>
      </c>
      <c r="G179" s="21">
        <f t="shared" si="48"/>
        <v>39.266346019627505</v>
      </c>
      <c r="H179" s="17">
        <f t="shared" si="23"/>
        <v>2148.942369729587</v>
      </c>
      <c r="I179" s="17">
        <f t="shared" si="24"/>
        <v>1756.7821298943086</v>
      </c>
      <c r="J179" s="38">
        <f t="shared" si="49"/>
        <v>13808.159483404123</v>
      </c>
      <c r="K179" s="23">
        <f t="shared" si="50"/>
        <v>7.309428261703892</v>
      </c>
      <c r="L179" s="17">
        <f t="shared" si="25"/>
        <v>13695.947753522105</v>
      </c>
      <c r="M179" s="17">
        <f t="shared" si="26"/>
        <v>1756.7821298943086</v>
      </c>
      <c r="N179" s="20">
        <f t="shared" si="27"/>
        <v>2261.1540996116055</v>
      </c>
      <c r="O179" s="18"/>
      <c r="P179" s="18"/>
    </row>
    <row r="180" spans="1:16" ht="12.75" customHeight="1">
      <c r="A180" s="16">
        <f t="shared" si="43"/>
        <v>0.36231884057971053</v>
      </c>
      <c r="B180" s="19">
        <f t="shared" si="44"/>
        <v>13.210087054974304</v>
      </c>
      <c r="C180" s="21">
        <f t="shared" si="45"/>
        <v>70.08359400619089</v>
      </c>
      <c r="D180" s="19">
        <f t="shared" si="22"/>
        <v>4.5</v>
      </c>
      <c r="E180" s="19">
        <f t="shared" si="46"/>
        <v>12.419999999999987</v>
      </c>
      <c r="F180" s="20">
        <f t="shared" si="47"/>
        <v>2793.537109515416</v>
      </c>
      <c r="G180" s="21">
        <f t="shared" si="48"/>
        <v>39.400176897215076</v>
      </c>
      <c r="H180" s="17">
        <f t="shared" si="23"/>
        <v>2158.654438851701</v>
      </c>
      <c r="I180" s="17">
        <f t="shared" si="24"/>
        <v>1773.1499078943084</v>
      </c>
      <c r="J180" s="38">
        <f t="shared" si="49"/>
        <v>13819.883203917085</v>
      </c>
      <c r="K180" s="23">
        <f t="shared" si="50"/>
        <v>7.371613045456062</v>
      </c>
      <c r="L180" s="17">
        <f t="shared" si="25"/>
        <v>13705.659822644218</v>
      </c>
      <c r="M180" s="17">
        <f t="shared" si="26"/>
        <v>1773.1499078943084</v>
      </c>
      <c r="N180" s="20">
        <f t="shared" si="27"/>
        <v>2272.8778201245677</v>
      </c>
      <c r="O180" s="18"/>
      <c r="P180" s="18"/>
    </row>
    <row r="181" spans="1:16" ht="12.75" customHeight="1">
      <c r="A181" s="16">
        <f t="shared" si="43"/>
        <v>0.3597122302158277</v>
      </c>
      <c r="B181" s="19">
        <f t="shared" si="44"/>
        <v>13.29473956119486</v>
      </c>
      <c r="C181" s="21">
        <f t="shared" si="45"/>
        <v>70.21572129599056</v>
      </c>
      <c r="D181" s="19">
        <f t="shared" si="22"/>
        <v>4.5</v>
      </c>
      <c r="E181" s="19">
        <f t="shared" si="46"/>
        <v>12.509999999999987</v>
      </c>
      <c r="F181" s="20">
        <f t="shared" si="47"/>
        <v>2811.438575005877</v>
      </c>
      <c r="G181" s="21">
        <f t="shared" si="48"/>
        <v>39.53230418701474</v>
      </c>
      <c r="H181" s="17">
        <f t="shared" si="23"/>
        <v>2168.3665079738144</v>
      </c>
      <c r="I181" s="17">
        <f t="shared" si="24"/>
        <v>1789.5176858943087</v>
      </c>
      <c r="J181" s="38">
        <f t="shared" si="49"/>
        <v>13831.62317580921</v>
      </c>
      <c r="K181" s="23">
        <f t="shared" si="50"/>
        <v>7.433692340127803</v>
      </c>
      <c r="L181" s="17">
        <f t="shared" si="25"/>
        <v>13715.371891766332</v>
      </c>
      <c r="M181" s="17">
        <f t="shared" si="26"/>
        <v>1789.5176858943087</v>
      </c>
      <c r="N181" s="20">
        <f t="shared" si="27"/>
        <v>2284.617792016694</v>
      </c>
      <c r="O181" s="18"/>
      <c r="P181" s="18"/>
    </row>
    <row r="182" spans="1:16" ht="12.75" customHeight="1">
      <c r="A182" s="16">
        <f t="shared" si="43"/>
        <v>0.3571428571428575</v>
      </c>
      <c r="B182" s="19">
        <f t="shared" si="44"/>
        <v>13.379461872586642</v>
      </c>
      <c r="C182" s="21">
        <f t="shared" si="45"/>
        <v>70.34617594194668</v>
      </c>
      <c r="D182" s="19">
        <f t="shared" si="22"/>
        <v>4.5</v>
      </c>
      <c r="E182" s="19">
        <f t="shared" si="46"/>
        <v>12.599999999999987</v>
      </c>
      <c r="F182" s="20">
        <f t="shared" si="47"/>
        <v>2829.3548021958973</v>
      </c>
      <c r="G182" s="21">
        <f t="shared" si="48"/>
        <v>39.662758832970866</v>
      </c>
      <c r="H182" s="17">
        <f t="shared" si="23"/>
        <v>2178.078577095928</v>
      </c>
      <c r="I182" s="17">
        <f t="shared" si="24"/>
        <v>1805.885463894309</v>
      </c>
      <c r="J182" s="38">
        <f t="shared" si="49"/>
        <v>13843.379357734224</v>
      </c>
      <c r="K182" s="23">
        <f t="shared" si="50"/>
        <v>7.495666268531085</v>
      </c>
      <c r="L182" s="17">
        <f t="shared" si="25"/>
        <v>13725.083960888445</v>
      </c>
      <c r="M182" s="17">
        <f t="shared" si="26"/>
        <v>1805.885463894309</v>
      </c>
      <c r="N182" s="20">
        <f t="shared" si="27"/>
        <v>2296.373973941707</v>
      </c>
      <c r="O182" s="18"/>
      <c r="P182" s="18"/>
    </row>
    <row r="183" spans="1:16" ht="12.75" customHeight="1">
      <c r="A183" s="16">
        <f t="shared" si="43"/>
        <v>0.35460992907801453</v>
      </c>
      <c r="B183" s="19">
        <f t="shared" si="44"/>
        <v>13.464252671425907</v>
      </c>
      <c r="C183" s="21">
        <f t="shared" si="45"/>
        <v>70.47498817886498</v>
      </c>
      <c r="D183" s="19">
        <f t="shared" si="22"/>
        <v>4.5</v>
      </c>
      <c r="E183" s="19">
        <f t="shared" si="46"/>
        <v>12.689999999999987</v>
      </c>
      <c r="F183" s="20">
        <f t="shared" si="47"/>
        <v>2847.2855124264365</v>
      </c>
      <c r="G183" s="21">
        <f t="shared" si="48"/>
        <v>39.791571069889166</v>
      </c>
      <c r="H183" s="17">
        <f t="shared" si="23"/>
        <v>2187.7906462180417</v>
      </c>
      <c r="I183" s="17">
        <f t="shared" si="24"/>
        <v>1822.2532418943088</v>
      </c>
      <c r="J183" s="38">
        <f t="shared" si="49"/>
        <v>13855.151708429183</v>
      </c>
      <c r="K183" s="23">
        <f t="shared" si="50"/>
        <v>7.557534954047536</v>
      </c>
      <c r="L183" s="17">
        <f t="shared" si="25"/>
        <v>13734.796030010559</v>
      </c>
      <c r="M183" s="17">
        <f t="shared" si="26"/>
        <v>1822.2532418943088</v>
      </c>
      <c r="N183" s="20">
        <f t="shared" si="27"/>
        <v>2308.1463246366657</v>
      </c>
      <c r="O183" s="18"/>
      <c r="P183" s="18"/>
    </row>
    <row r="184" spans="1:16" ht="12.75" customHeight="1">
      <c r="A184" s="16">
        <f t="shared" si="43"/>
        <v>0.3521126760563384</v>
      </c>
      <c r="B184" s="19">
        <f t="shared" si="44"/>
        <v>13.549110671922334</v>
      </c>
      <c r="C184" s="21">
        <f t="shared" si="45"/>
        <v>70.60218755144177</v>
      </c>
      <c r="D184" s="19">
        <f t="shared" si="22"/>
        <v>4.5</v>
      </c>
      <c r="E184" s="19">
        <f t="shared" si="46"/>
        <v>12.779999999999987</v>
      </c>
      <c r="F184" s="20">
        <f t="shared" si="47"/>
        <v>2865.2304337914156</v>
      </c>
      <c r="G184" s="21">
        <f t="shared" si="48"/>
        <v>39.918770442465956</v>
      </c>
      <c r="H184" s="17">
        <f t="shared" si="23"/>
        <v>2197.502715340155</v>
      </c>
      <c r="I184" s="17">
        <f t="shared" si="24"/>
        <v>1838.621019894309</v>
      </c>
      <c r="J184" s="38">
        <f t="shared" si="49"/>
        <v>13866.940186714617</v>
      </c>
      <c r="K184" s="23">
        <f t="shared" si="50"/>
        <v>7.619298520621801</v>
      </c>
      <c r="L184" s="17">
        <f t="shared" si="25"/>
        <v>13744.508099132672</v>
      </c>
      <c r="M184" s="17">
        <f t="shared" si="26"/>
        <v>1838.621019894309</v>
      </c>
      <c r="N184" s="20">
        <f t="shared" si="27"/>
        <v>2319.9348029221</v>
      </c>
      <c r="O184" s="18"/>
      <c r="P184" s="18"/>
    </row>
    <row r="185" spans="1:16" ht="12.75" customHeight="1">
      <c r="A185" s="16">
        <f t="shared" si="43"/>
        <v>0.34965034965035</v>
      </c>
      <c r="B185" s="19">
        <f t="shared" si="44"/>
        <v>13.634034619290054</v>
      </c>
      <c r="C185" s="21">
        <f t="shared" si="45"/>
        <v>70.72780293273013</v>
      </c>
      <c r="D185" s="19">
        <f t="shared" si="22"/>
        <v>4.5</v>
      </c>
      <c r="E185" s="19">
        <f t="shared" si="46"/>
        <v>12.869999999999987</v>
      </c>
      <c r="F185" s="20">
        <f t="shared" si="47"/>
        <v>2883.1893009412674</v>
      </c>
      <c r="G185" s="21">
        <f t="shared" si="48"/>
        <v>40.044385823754325</v>
      </c>
      <c r="H185" s="17">
        <f t="shared" si="23"/>
        <v>2207.214784462269</v>
      </c>
      <c r="I185" s="17">
        <f t="shared" si="24"/>
        <v>1854.988797894309</v>
      </c>
      <c r="J185" s="38">
        <f t="shared" si="49"/>
        <v>13878.744751494642</v>
      </c>
      <c r="K185" s="23">
        <f t="shared" si="50"/>
        <v>7.680957092754917</v>
      </c>
      <c r="L185" s="17">
        <f t="shared" si="25"/>
        <v>13754.220168254786</v>
      </c>
      <c r="M185" s="17">
        <f t="shared" si="26"/>
        <v>1854.988797894309</v>
      </c>
      <c r="N185" s="20">
        <f t="shared" si="27"/>
        <v>2331.7393677021246</v>
      </c>
      <c r="O185" s="18"/>
      <c r="P185" s="18"/>
    </row>
    <row r="186" spans="1:16" ht="12.75" customHeight="1">
      <c r="A186" s="16">
        <f t="shared" si="43"/>
        <v>0.3472222222222226</v>
      </c>
      <c r="B186" s="19">
        <f t="shared" si="44"/>
        <v>13.719023288849671</v>
      </c>
      <c r="C186" s="21">
        <f t="shared" si="45"/>
        <v>70.85186254206039</v>
      </c>
      <c r="D186" s="19">
        <f t="shared" si="22"/>
        <v>4.5</v>
      </c>
      <c r="E186" s="19">
        <f t="shared" si="46"/>
        <v>12.959999999999987</v>
      </c>
      <c r="F186" s="20">
        <f t="shared" si="47"/>
        <v>2901.16185489304</v>
      </c>
      <c r="G186" s="21">
        <f t="shared" si="48"/>
        <v>40.16844543308457</v>
      </c>
      <c r="H186" s="17">
        <f t="shared" si="23"/>
        <v>2216.926853584383</v>
      </c>
      <c r="I186" s="17">
        <f t="shared" si="24"/>
        <v>1871.3565758943087</v>
      </c>
      <c r="J186" s="38">
        <f t="shared" si="49"/>
        <v>13890.565361757092</v>
      </c>
      <c r="K186" s="23">
        <f t="shared" si="50"/>
        <v>7.742510795497729</v>
      </c>
      <c r="L186" s="17">
        <f t="shared" si="25"/>
        <v>13763.9322373769</v>
      </c>
      <c r="M186" s="17">
        <f t="shared" si="26"/>
        <v>1871.3565758943087</v>
      </c>
      <c r="N186" s="20">
        <f t="shared" si="27"/>
        <v>2343.5599779645745</v>
      </c>
      <c r="O186" s="18"/>
      <c r="P186" s="18"/>
    </row>
    <row r="187" spans="1:16" ht="12.75" customHeight="1">
      <c r="A187" s="16">
        <f t="shared" si="43"/>
        <v>0.3448275862068969</v>
      </c>
      <c r="B187" s="19">
        <f t="shared" si="44"/>
        <v>13.804075485160158</v>
      </c>
      <c r="C187" s="21">
        <f t="shared" si="45"/>
        <v>70.9743939624313</v>
      </c>
      <c r="D187" s="19">
        <f t="shared" si="22"/>
        <v>4.5</v>
      </c>
      <c r="E187" s="19">
        <f t="shared" si="46"/>
        <v>13.049999999999986</v>
      </c>
      <c r="F187" s="20">
        <f t="shared" si="47"/>
        <v>2919.1478428468185</v>
      </c>
      <c r="G187" s="21">
        <f t="shared" si="48"/>
        <v>40.290976853455476</v>
      </c>
      <c r="H187" s="17">
        <f t="shared" si="23"/>
        <v>2226.6389227064974</v>
      </c>
      <c r="I187" s="17">
        <f t="shared" si="24"/>
        <v>1887.724353894308</v>
      </c>
      <c r="J187" s="38">
        <f t="shared" si="49"/>
        <v>13902.401976573632</v>
      </c>
      <c r="K187" s="23">
        <f t="shared" si="50"/>
        <v>7.803959754444361</v>
      </c>
      <c r="L187" s="17">
        <f t="shared" si="25"/>
        <v>13773.644306499014</v>
      </c>
      <c r="M187" s="17">
        <f t="shared" si="26"/>
        <v>1887.724353894308</v>
      </c>
      <c r="N187" s="20">
        <f t="shared" si="27"/>
        <v>2355.396592781115</v>
      </c>
      <c r="O187" s="18"/>
      <c r="P187" s="18"/>
    </row>
    <row r="188" spans="1:16" ht="12.75" customHeight="1">
      <c r="A188" s="16">
        <f t="shared" si="43"/>
        <v>0.3424657534246579</v>
      </c>
      <c r="B188" s="19">
        <f t="shared" si="44"/>
        <v>13.889190041179495</v>
      </c>
      <c r="C188" s="21">
        <f t="shared" si="45"/>
        <v>71.09542415738832</v>
      </c>
      <c r="D188" s="19">
        <f aca="true" t="shared" si="51" ref="D188:D219">$J$3</f>
        <v>4.5</v>
      </c>
      <c r="E188" s="19">
        <f t="shared" si="46"/>
        <v>13.139999999999986</v>
      </c>
      <c r="F188" s="20">
        <f t="shared" si="47"/>
        <v>2937.147018008228</v>
      </c>
      <c r="G188" s="21">
        <f t="shared" si="48"/>
        <v>40.412007048412505</v>
      </c>
      <c r="H188" s="17">
        <f aca="true" t="shared" si="52" ref="H188:H219">COS((C188+$D$7)/180*PI())*$C$7*B188</f>
        <v>2236.3509918286113</v>
      </c>
      <c r="I188" s="17">
        <f aca="true" t="shared" si="53" ref="I188:I219">SIN((C188+$D$7)/180*PI())*$C$7*B188</f>
        <v>1904.0921318943085</v>
      </c>
      <c r="J188" s="38">
        <f t="shared" si="49"/>
        <v>13914.254555099868</v>
      </c>
      <c r="K188" s="23">
        <f t="shared" si="50"/>
        <v>7.865304095725703</v>
      </c>
      <c r="L188" s="17">
        <f aca="true" t="shared" si="54" ref="L188:L219">H188+$E$5</f>
        <v>13783.356375621128</v>
      </c>
      <c r="M188" s="17">
        <f aca="true" t="shared" si="55" ref="M188:M219">I188+$F$5</f>
        <v>1904.0921318943085</v>
      </c>
      <c r="N188" s="20">
        <f aca="true" t="shared" si="56" ref="N188:N219">J188-$C$5*1000</f>
        <v>2367.2491713073505</v>
      </c>
      <c r="O188" s="18"/>
      <c r="P188" s="18"/>
    </row>
    <row r="189" spans="1:16" ht="12.75" customHeight="1">
      <c r="A189" s="16">
        <f t="shared" si="43"/>
        <v>0.3401360544217691</v>
      </c>
      <c r="B189" s="19">
        <f t="shared" si="44"/>
        <v>13.974365817453029</v>
      </c>
      <c r="C189" s="21">
        <f t="shared" si="45"/>
        <v>71.21497948740456</v>
      </c>
      <c r="D189" s="19">
        <f t="shared" si="51"/>
        <v>4.5</v>
      </c>
      <c r="E189" s="19">
        <f t="shared" si="46"/>
        <v>13.229999999999986</v>
      </c>
      <c r="F189" s="20">
        <f t="shared" si="47"/>
        <v>2955.159139416792</v>
      </c>
      <c r="G189" s="21">
        <f t="shared" si="48"/>
        <v>40.53156237842874</v>
      </c>
      <c r="H189" s="17">
        <f t="shared" si="52"/>
        <v>2246.063060950725</v>
      </c>
      <c r="I189" s="17">
        <f t="shared" si="53"/>
        <v>1920.4599098943086</v>
      </c>
      <c r="J189" s="38">
        <f t="shared" si="49"/>
        <v>13926.123056575472</v>
      </c>
      <c r="K189" s="23">
        <f t="shared" si="50"/>
        <v>7.926543946002914</v>
      </c>
      <c r="L189" s="17">
        <f t="shared" si="54"/>
        <v>13793.068444743241</v>
      </c>
      <c r="M189" s="17">
        <f t="shared" si="55"/>
        <v>1920.4599098943086</v>
      </c>
      <c r="N189" s="20">
        <f t="shared" si="56"/>
        <v>2379.117672782955</v>
      </c>
      <c r="O189" s="18"/>
      <c r="P189" s="18"/>
    </row>
    <row r="190" spans="1:16" ht="12.75" customHeight="1">
      <c r="A190" s="16">
        <f t="shared" si="43"/>
        <v>0.3378378378378382</v>
      </c>
      <c r="B190" s="19">
        <f t="shared" si="44"/>
        <v>14.059601701328514</v>
      </c>
      <c r="C190" s="21">
        <f t="shared" si="45"/>
        <v>71.33308572577977</v>
      </c>
      <c r="D190" s="19">
        <f t="shared" si="51"/>
        <v>4.5</v>
      </c>
      <c r="E190" s="19">
        <f t="shared" si="46"/>
        <v>13.319999999999986</v>
      </c>
      <c r="F190" s="20">
        <f t="shared" si="47"/>
        <v>2973.183971779941</v>
      </c>
      <c r="G190" s="21">
        <f t="shared" si="48"/>
        <v>40.64966861680394</v>
      </c>
      <c r="H190" s="17">
        <f t="shared" si="52"/>
        <v>2255.7751300728387</v>
      </c>
      <c r="I190" s="17">
        <f t="shared" si="53"/>
        <v>1936.8276878943086</v>
      </c>
      <c r="J190" s="38">
        <f t="shared" si="49"/>
        <v>13938.007440324287</v>
      </c>
      <c r="K190" s="23">
        <f t="shared" si="50"/>
        <v>7.98767943246101</v>
      </c>
      <c r="L190" s="17">
        <f t="shared" si="54"/>
        <v>13802.780513865357</v>
      </c>
      <c r="M190" s="17">
        <f t="shared" si="55"/>
        <v>1936.8276878943086</v>
      </c>
      <c r="N190" s="20">
        <f t="shared" si="56"/>
        <v>2391.00205653177</v>
      </c>
      <c r="O190" s="18"/>
      <c r="P190" s="18"/>
    </row>
    <row r="191" spans="1:16" ht="12.75" customHeight="1">
      <c r="A191" s="16">
        <f t="shared" si="43"/>
        <v>0.33557046979865807</v>
      </c>
      <c r="B191" s="19">
        <f t="shared" si="44"/>
        <v>14.144896606196866</v>
      </c>
      <c r="C191" s="21">
        <f t="shared" si="45"/>
        <v>71.44976807407224</v>
      </c>
      <c r="D191" s="19">
        <f t="shared" si="51"/>
        <v>4.5</v>
      </c>
      <c r="E191" s="19">
        <f t="shared" si="46"/>
        <v>13.409999999999986</v>
      </c>
      <c r="F191" s="20">
        <f t="shared" si="47"/>
        <v>2991.221285312451</v>
      </c>
      <c r="G191" s="21">
        <f t="shared" si="48"/>
        <v>40.76635096509642</v>
      </c>
      <c r="H191" s="17">
        <f t="shared" si="52"/>
        <v>2265.487199194952</v>
      </c>
      <c r="I191" s="17">
        <f t="shared" si="53"/>
        <v>1953.1954658943082</v>
      </c>
      <c r="J191" s="38">
        <f t="shared" si="49"/>
        <v>13949.907665754421</v>
      </c>
      <c r="K191" s="23">
        <f t="shared" si="50"/>
        <v>8.04871068280245</v>
      </c>
      <c r="L191" s="17">
        <f t="shared" si="54"/>
        <v>13812.49258298747</v>
      </c>
      <c r="M191" s="17">
        <f t="shared" si="55"/>
        <v>1953.1954658943082</v>
      </c>
      <c r="N191" s="20">
        <f t="shared" si="56"/>
        <v>2402.902281961904</v>
      </c>
      <c r="O191" s="18"/>
      <c r="P191" s="18"/>
    </row>
    <row r="192" spans="1:16" ht="12.75" customHeight="1">
      <c r="A192" s="16">
        <f t="shared" si="43"/>
        <v>0.3333333333333337</v>
      </c>
      <c r="B192" s="19">
        <f t="shared" si="44"/>
        <v>14.230249470757693</v>
      </c>
      <c r="C192" s="21">
        <f t="shared" si="45"/>
        <v>71.56505117707799</v>
      </c>
      <c r="D192" s="19">
        <f t="shared" si="51"/>
        <v>4.5</v>
      </c>
      <c r="E192" s="19">
        <f t="shared" si="46"/>
        <v>13.499999999999986</v>
      </c>
      <c r="F192" s="20">
        <f t="shared" si="47"/>
        <v>3009.270855581129</v>
      </c>
      <c r="G192" s="21">
        <f t="shared" si="48"/>
        <v>40.88163406810217</v>
      </c>
      <c r="H192" s="17">
        <f t="shared" si="52"/>
        <v>2275.199268317065</v>
      </c>
      <c r="I192" s="17">
        <f t="shared" si="53"/>
        <v>1969.5632438943085</v>
      </c>
      <c r="J192" s="38">
        <f t="shared" si="49"/>
        <v>13961.82369235836</v>
      </c>
      <c r="K192" s="23">
        <f t="shared" si="50"/>
        <v>8.109637825240767</v>
      </c>
      <c r="L192" s="17">
        <f t="shared" si="54"/>
        <v>13822.204652109582</v>
      </c>
      <c r="M192" s="17">
        <f t="shared" si="55"/>
        <v>1969.5632438943085</v>
      </c>
      <c r="N192" s="20">
        <f t="shared" si="56"/>
        <v>2414.818308565844</v>
      </c>
      <c r="O192" s="18"/>
      <c r="P192" s="18"/>
    </row>
    <row r="193" spans="1:16" ht="12.75" customHeight="1">
      <c r="A193" s="16">
        <f t="shared" si="43"/>
        <v>0.3311258278145699</v>
      </c>
      <c r="B193" s="19">
        <f t="shared" si="44"/>
        <v>14.3156592583087</v>
      </c>
      <c r="C193" s="21">
        <f t="shared" si="45"/>
        <v>71.67895913737108</v>
      </c>
      <c r="D193" s="19">
        <f t="shared" si="51"/>
        <v>4.5</v>
      </c>
      <c r="E193" s="19">
        <f t="shared" si="46"/>
        <v>13.589999999999986</v>
      </c>
      <c r="F193" s="20">
        <f t="shared" si="47"/>
        <v>3027.3324633545412</v>
      </c>
      <c r="G193" s="21">
        <f t="shared" si="48"/>
        <v>40.99554202839526</v>
      </c>
      <c r="H193" s="17">
        <f t="shared" si="52"/>
        <v>2284.91133743918</v>
      </c>
      <c r="I193" s="17">
        <f t="shared" si="53"/>
        <v>1985.931021894308</v>
      </c>
      <c r="J193" s="38">
        <f t="shared" si="49"/>
        <v>13973.755479713074</v>
      </c>
      <c r="K193" s="23">
        <f t="shared" si="50"/>
        <v>8.170460988494222</v>
      </c>
      <c r="L193" s="17">
        <f t="shared" si="54"/>
        <v>13831.916721231697</v>
      </c>
      <c r="M193" s="17">
        <f t="shared" si="55"/>
        <v>1985.931021894308</v>
      </c>
      <c r="N193" s="20">
        <f t="shared" si="56"/>
        <v>2426.750095920557</v>
      </c>
      <c r="O193" s="18"/>
      <c r="P193" s="18"/>
    </row>
    <row r="194" spans="1:16" ht="12.75" customHeight="1">
      <c r="A194" s="16">
        <f t="shared" si="43"/>
        <v>0.328947368421053</v>
      </c>
      <c r="B194" s="19">
        <f t="shared" si="44"/>
        <v>14.401124956058107</v>
      </c>
      <c r="C194" s="21">
        <f t="shared" si="45"/>
        <v>71.79151552941917</v>
      </c>
      <c r="D194" s="19">
        <f t="shared" si="51"/>
        <v>4.5</v>
      </c>
      <c r="E194" s="19">
        <f t="shared" si="46"/>
        <v>13.679999999999986</v>
      </c>
      <c r="F194" s="20">
        <f t="shared" si="47"/>
        <v>3045.4058944576077</v>
      </c>
      <c r="G194" s="21">
        <f t="shared" si="48"/>
        <v>41.108098420443355</v>
      </c>
      <c r="H194" s="17">
        <f t="shared" si="52"/>
        <v>2294.623406561293</v>
      </c>
      <c r="I194" s="17">
        <f t="shared" si="53"/>
        <v>2002.298799894309</v>
      </c>
      <c r="J194" s="38">
        <f t="shared" si="49"/>
        <v>13985.702987480097</v>
      </c>
      <c r="K194" s="23">
        <f t="shared" si="50"/>
        <v>8.231180301779538</v>
      </c>
      <c r="L194" s="17">
        <f t="shared" si="54"/>
        <v>13841.62879035381</v>
      </c>
      <c r="M194" s="17">
        <f t="shared" si="55"/>
        <v>2002.298799894309</v>
      </c>
      <c r="N194" s="20">
        <f t="shared" si="56"/>
        <v>2438.6976036875803</v>
      </c>
      <c r="O194" s="18"/>
      <c r="P194" s="18"/>
    </row>
    <row r="195" spans="1:16" ht="12.75" customHeight="1">
      <c r="A195" s="16">
        <f t="shared" si="43"/>
        <v>0.32679738562091537</v>
      </c>
      <c r="B195" s="19">
        <f t="shared" si="44"/>
        <v>14.486645574459244</v>
      </c>
      <c r="C195" s="21">
        <f t="shared" si="45"/>
        <v>71.90274341328654</v>
      </c>
      <c r="D195" s="19">
        <f t="shared" si="51"/>
        <v>4.5</v>
      </c>
      <c r="E195" s="19">
        <f t="shared" si="46"/>
        <v>13.769999999999985</v>
      </c>
      <c r="F195" s="20">
        <f t="shared" si="47"/>
        <v>3063.4909396308963</v>
      </c>
      <c r="G195" s="21">
        <f t="shared" si="48"/>
        <v>41.219326304310734</v>
      </c>
      <c r="H195" s="17">
        <f t="shared" si="52"/>
        <v>2304.335475683407</v>
      </c>
      <c r="I195" s="17">
        <f t="shared" si="53"/>
        <v>2018.6665778943084</v>
      </c>
      <c r="J195" s="38">
        <f t="shared" si="49"/>
        <v>13997.666175405626</v>
      </c>
      <c r="K195" s="23">
        <f t="shared" si="50"/>
        <v>8.291795894805585</v>
      </c>
      <c r="L195" s="17">
        <f t="shared" si="54"/>
        <v>13851.340859475924</v>
      </c>
      <c r="M195" s="17">
        <f t="shared" si="55"/>
        <v>2018.6665778943084</v>
      </c>
      <c r="N195" s="20">
        <f t="shared" si="56"/>
        <v>2450.660791613109</v>
      </c>
      <c r="O195" s="18"/>
      <c r="P195" s="18"/>
    </row>
    <row r="196" spans="1:14" ht="12.75" customHeight="1">
      <c r="A196" s="16">
        <f t="shared" si="43"/>
        <v>0.324675324675325</v>
      </c>
      <c r="B196" s="19">
        <f t="shared" si="44"/>
        <v>14.572220146566535</v>
      </c>
      <c r="C196" s="21">
        <f t="shared" si="45"/>
        <v>72.01266534793852</v>
      </c>
      <c r="D196" s="19">
        <f t="shared" si="51"/>
        <v>4.5</v>
      </c>
      <c r="E196" s="19">
        <f t="shared" si="46"/>
        <v>13.859999999999985</v>
      </c>
      <c r="F196" s="20">
        <f t="shared" si="47"/>
        <v>3081.5873943944252</v>
      </c>
      <c r="G196" s="21">
        <f t="shared" si="48"/>
        <v>41.32924823896271</v>
      </c>
      <c r="H196" s="17">
        <f t="shared" si="52"/>
        <v>2314.047544805521</v>
      </c>
      <c r="I196" s="17">
        <f t="shared" si="53"/>
        <v>2035.0343558943084</v>
      </c>
      <c r="J196" s="38">
        <f t="shared" si="49"/>
        <v>14009.645003320618</v>
      </c>
      <c r="K196" s="23">
        <f t="shared" si="50"/>
        <v>8.352307897767215</v>
      </c>
      <c r="L196" s="17">
        <f t="shared" si="54"/>
        <v>13861.052928598037</v>
      </c>
      <c r="M196" s="17">
        <f t="shared" si="55"/>
        <v>2035.0343558943084</v>
      </c>
      <c r="N196" s="20">
        <f t="shared" si="56"/>
        <v>2462.6396195281013</v>
      </c>
    </row>
    <row r="197" spans="1:14" ht="12.75" customHeight="1">
      <c r="A197" s="16">
        <f t="shared" si="43"/>
        <v>0.32258064516129065</v>
      </c>
      <c r="B197" s="19">
        <f t="shared" si="44"/>
        <v>14.657847727412085</v>
      </c>
      <c r="C197" s="21">
        <f t="shared" si="45"/>
        <v>72.12130340415865</v>
      </c>
      <c r="D197" s="19">
        <f t="shared" si="51"/>
        <v>4.5</v>
      </c>
      <c r="E197" s="19">
        <f t="shared" si="46"/>
        <v>13.949999999999985</v>
      </c>
      <c r="F197" s="20">
        <f t="shared" si="47"/>
        <v>3099.6950589158337</v>
      </c>
      <c r="G197" s="21">
        <f t="shared" si="48"/>
        <v>41.43788629518282</v>
      </c>
      <c r="H197" s="17">
        <f t="shared" si="52"/>
        <v>2323.759613927635</v>
      </c>
      <c r="I197" s="17">
        <f t="shared" si="53"/>
        <v>2051.402133894308</v>
      </c>
      <c r="J197" s="38">
        <f t="shared" si="49"/>
        <v>14021.639431140877</v>
      </c>
      <c r="K197" s="23">
        <f t="shared" si="50"/>
        <v>8.412716441339004</v>
      </c>
      <c r="L197" s="17">
        <f t="shared" si="54"/>
        <v>13870.764997720153</v>
      </c>
      <c r="M197" s="17">
        <f t="shared" si="55"/>
        <v>2051.402133894308</v>
      </c>
      <c r="N197" s="20">
        <f t="shared" si="56"/>
        <v>2474.6340473483597</v>
      </c>
    </row>
    <row r="198" spans="1:14" ht="12.75" customHeight="1">
      <c r="A198" s="16">
        <f t="shared" si="43"/>
        <v>0.3205128205128209</v>
      </c>
      <c r="B198" s="19">
        <f t="shared" si="44"/>
        <v>14.743527393402148</v>
      </c>
      <c r="C198" s="21">
        <f t="shared" si="45"/>
        <v>72.22867917709122</v>
      </c>
      <c r="D198" s="19">
        <f t="shared" si="51"/>
        <v>4.5</v>
      </c>
      <c r="E198" s="19">
        <f t="shared" si="46"/>
        <v>14.039999999999985</v>
      </c>
      <c r="F198" s="20">
        <f t="shared" si="47"/>
        <v>3117.8137378827523</v>
      </c>
      <c r="G198" s="21">
        <f t="shared" si="48"/>
        <v>41.5452620681154</v>
      </c>
      <c r="H198" s="17">
        <f t="shared" si="52"/>
        <v>2333.4716830497487</v>
      </c>
      <c r="I198" s="17">
        <f t="shared" si="53"/>
        <v>2067.769911894308</v>
      </c>
      <c r="J198" s="38">
        <f t="shared" si="49"/>
        <v>14033.64941886712</v>
      </c>
      <c r="K198" s="23">
        <f t="shared" si="50"/>
        <v>8.473021656669145</v>
      </c>
      <c r="L198" s="17">
        <f t="shared" si="54"/>
        <v>13880.477066842266</v>
      </c>
      <c r="M198" s="17">
        <f t="shared" si="55"/>
        <v>2067.769911894308</v>
      </c>
      <c r="N198" s="20">
        <f t="shared" si="56"/>
        <v>2486.6440350746034</v>
      </c>
    </row>
    <row r="199" spans="1:14" ht="12.75" customHeight="1">
      <c r="A199" s="16">
        <f t="shared" si="43"/>
        <v>0.31847133757961815</v>
      </c>
      <c r="B199" s="19">
        <f t="shared" si="44"/>
        <v>14.82925824173278</v>
      </c>
      <c r="C199" s="21">
        <f t="shared" si="45"/>
        <v>72.33481379842074</v>
      </c>
      <c r="D199" s="19">
        <f t="shared" si="51"/>
        <v>4.5</v>
      </c>
      <c r="E199" s="19">
        <f t="shared" si="46"/>
        <v>14.129999999999985</v>
      </c>
      <c r="F199" s="20">
        <f t="shared" si="47"/>
        <v>3135.943240379231</v>
      </c>
      <c r="G199" s="21">
        <f t="shared" si="48"/>
        <v>41.65139668944492</v>
      </c>
      <c r="H199" s="17">
        <f t="shared" si="52"/>
        <v>2343.1837521718626</v>
      </c>
      <c r="I199" s="17">
        <f t="shared" si="53"/>
        <v>2084.137689894308</v>
      </c>
      <c r="J199" s="38">
        <f t="shared" si="49"/>
        <v>14045.674926585083</v>
      </c>
      <c r="K199" s="23">
        <f t="shared" si="50"/>
        <v>8.533223675373296</v>
      </c>
      <c r="L199" s="17">
        <f t="shared" si="54"/>
        <v>13890.18913596438</v>
      </c>
      <c r="M199" s="17">
        <f t="shared" si="55"/>
        <v>2084.137689894308</v>
      </c>
      <c r="N199" s="20">
        <f t="shared" si="56"/>
        <v>2498.669542792566</v>
      </c>
    </row>
    <row r="200" spans="1:14" ht="12.75" customHeight="1">
      <c r="A200" s="16">
        <f t="shared" si="43"/>
        <v>0.316455696202532</v>
      </c>
      <c r="B200" s="19">
        <f t="shared" si="44"/>
        <v>14.915039389823935</v>
      </c>
      <c r="C200" s="21">
        <f t="shared" si="45"/>
        <v>72.43972794819929</v>
      </c>
      <c r="D200" s="19">
        <f t="shared" si="51"/>
        <v>4.5</v>
      </c>
      <c r="E200" s="19">
        <f t="shared" si="46"/>
        <v>14.219999999999985</v>
      </c>
      <c r="F200" s="20">
        <f t="shared" si="47"/>
        <v>3154.083379766067</v>
      </c>
      <c r="G200" s="21">
        <f t="shared" si="48"/>
        <v>41.75631083922348</v>
      </c>
      <c r="H200" s="17">
        <f t="shared" si="52"/>
        <v>2352.8958212939756</v>
      </c>
      <c r="I200" s="17">
        <f t="shared" si="53"/>
        <v>2100.505467894308</v>
      </c>
      <c r="J200" s="38">
        <f t="shared" si="49"/>
        <v>14057.71591446558</v>
      </c>
      <c r="K200" s="23">
        <f t="shared" si="50"/>
        <v>8.593322629528496</v>
      </c>
      <c r="L200" s="17">
        <f t="shared" si="54"/>
        <v>13899.901205086493</v>
      </c>
      <c r="M200" s="17">
        <f t="shared" si="55"/>
        <v>2100.505467894308</v>
      </c>
      <c r="N200" s="20">
        <f t="shared" si="56"/>
        <v>2510.7105306730627</v>
      </c>
    </row>
    <row r="201" spans="1:14" ht="12.75" customHeight="1">
      <c r="A201" s="16">
        <f t="shared" si="43"/>
        <v>0.31446540880503177</v>
      </c>
      <c r="B201" s="19">
        <f t="shared" si="44"/>
        <v>15.00086997477145</v>
      </c>
      <c r="C201" s="21">
        <f t="shared" si="45"/>
        <v>72.54344186633311</v>
      </c>
      <c r="D201" s="19">
        <f t="shared" si="51"/>
        <v>4.5</v>
      </c>
      <c r="E201" s="19">
        <f t="shared" si="46"/>
        <v>14.309999999999985</v>
      </c>
      <c r="F201" s="20">
        <f t="shared" si="47"/>
        <v>3172.2339735649184</v>
      </c>
      <c r="G201" s="21">
        <f t="shared" si="48"/>
        <v>41.8600247573573</v>
      </c>
      <c r="H201" s="17">
        <f t="shared" si="52"/>
        <v>2362.6078904160895</v>
      </c>
      <c r="I201" s="17">
        <f t="shared" si="53"/>
        <v>2116.8732458943086</v>
      </c>
      <c r="J201" s="38">
        <f t="shared" si="49"/>
        <v>14069.772342764589</v>
      </c>
      <c r="K201" s="23">
        <f t="shared" si="50"/>
        <v>8.653318651667126</v>
      </c>
      <c r="L201" s="17">
        <f t="shared" si="54"/>
        <v>13909.613274208607</v>
      </c>
      <c r="M201" s="17">
        <f t="shared" si="55"/>
        <v>2116.8732458943086</v>
      </c>
      <c r="N201" s="20">
        <f t="shared" si="56"/>
        <v>2522.7669589720717</v>
      </c>
    </row>
    <row r="202" spans="1:14" ht="12.75" customHeight="1">
      <c r="A202" s="16">
        <f t="shared" si="43"/>
        <v>0.31250000000000033</v>
      </c>
      <c r="B202" s="19">
        <f t="shared" si="44"/>
        <v>15.086749152816175</v>
      </c>
      <c r="C202" s="21">
        <f t="shared" si="45"/>
        <v>72.64597536373867</v>
      </c>
      <c r="D202" s="19">
        <f t="shared" si="51"/>
        <v>4.5</v>
      </c>
      <c r="E202" s="19">
        <f t="shared" si="46"/>
        <v>14.399999999999984</v>
      </c>
      <c r="F202" s="20">
        <f t="shared" si="47"/>
        <v>3190.394843346037</v>
      </c>
      <c r="G202" s="21">
        <f t="shared" si="48"/>
        <v>41.96255825476286</v>
      </c>
      <c r="H202" s="17">
        <f t="shared" si="52"/>
        <v>2372.3199595382034</v>
      </c>
      <c r="I202" s="17">
        <f t="shared" si="53"/>
        <v>2133.241023894309</v>
      </c>
      <c r="J202" s="38">
        <f t="shared" si="49"/>
        <v>14081.844171823323</v>
      </c>
      <c r="K202" s="23">
        <f t="shared" si="50"/>
        <v>8.713211874770863</v>
      </c>
      <c r="L202" s="17">
        <f t="shared" si="54"/>
        <v>13919.32534333072</v>
      </c>
      <c r="M202" s="17">
        <f t="shared" si="55"/>
        <v>2133.241023894309</v>
      </c>
      <c r="N202" s="20">
        <f t="shared" si="56"/>
        <v>2534.8387880308055</v>
      </c>
    </row>
    <row r="203" spans="1:14" ht="12.75" customHeight="1">
      <c r="A203" s="16">
        <f t="shared" si="43"/>
        <v>0.3105590062111805</v>
      </c>
      <c r="B203" s="19">
        <f t="shared" si="44"/>
        <v>15.17267609882975</v>
      </c>
      <c r="C203" s="21">
        <f t="shared" si="45"/>
        <v>72.74734783317874</v>
      </c>
      <c r="D203" s="19">
        <f t="shared" si="51"/>
        <v>4.5</v>
      </c>
      <c r="E203" s="19">
        <f t="shared" si="46"/>
        <v>14.489999999999984</v>
      </c>
      <c r="F203" s="20">
        <f t="shared" si="47"/>
        <v>3208.5658146195274</v>
      </c>
      <c r="G203" s="21">
        <f t="shared" si="48"/>
        <v>42.06393072420292</v>
      </c>
      <c r="H203" s="17">
        <f t="shared" si="52"/>
        <v>2382.0320286603173</v>
      </c>
      <c r="I203" s="17">
        <f t="shared" si="53"/>
        <v>2149.6088018943083</v>
      </c>
      <c r="J203" s="38">
        <f t="shared" si="49"/>
        <v>14093.931362068295</v>
      </c>
      <c r="K203" s="23">
        <f t="shared" si="50"/>
        <v>8.77300243226472</v>
      </c>
      <c r="L203" s="17">
        <f t="shared" si="54"/>
        <v>13929.037412452835</v>
      </c>
      <c r="M203" s="17">
        <f t="shared" si="55"/>
        <v>2149.6088018943083</v>
      </c>
      <c r="N203" s="20">
        <f t="shared" si="56"/>
        <v>2546.925978275778</v>
      </c>
    </row>
    <row r="204" spans="1:14" ht="12.75" customHeight="1">
      <c r="A204" s="16">
        <f t="shared" si="43"/>
        <v>0.3086419753086423</v>
      </c>
      <c r="B204" s="19">
        <f t="shared" si="44"/>
        <v>15.258650005816357</v>
      </c>
      <c r="C204" s="21">
        <f t="shared" si="45"/>
        <v>72.84757825978815</v>
      </c>
      <c r="D204" s="19">
        <f t="shared" si="51"/>
        <v>4.5</v>
      </c>
      <c r="E204" s="19">
        <f t="shared" si="46"/>
        <v>14.579999999999984</v>
      </c>
      <c r="F204" s="20">
        <f t="shared" si="47"/>
        <v>3226.746716729985</v>
      </c>
      <c r="G204" s="21">
        <f t="shared" si="48"/>
        <v>42.16416115081234</v>
      </c>
      <c r="H204" s="17">
        <f t="shared" si="52"/>
        <v>2391.744097782431</v>
      </c>
      <c r="I204" s="17">
        <f t="shared" si="53"/>
        <v>2165.976579894308</v>
      </c>
      <c r="J204" s="38">
        <f t="shared" si="49"/>
        <v>14106.033874011382</v>
      </c>
      <c r="K204" s="23">
        <f t="shared" si="50"/>
        <v>8.832690458011104</v>
      </c>
      <c r="L204" s="17">
        <f t="shared" si="54"/>
        <v>13938.749481574949</v>
      </c>
      <c r="M204" s="17">
        <f t="shared" si="55"/>
        <v>2165.976579894308</v>
      </c>
      <c r="N204" s="20">
        <f t="shared" si="56"/>
        <v>2559.028490218865</v>
      </c>
    </row>
    <row r="205" spans="1:14" ht="12.75" customHeight="1">
      <c r="A205" s="16">
        <f t="shared" si="43"/>
        <v>0.30674846625766905</v>
      </c>
      <c r="B205" s="19">
        <f t="shared" si="44"/>
        <v>15.344670084429952</v>
      </c>
      <c r="C205" s="21">
        <f t="shared" si="45"/>
        <v>72.94668523129904</v>
      </c>
      <c r="D205" s="19">
        <f t="shared" si="51"/>
        <v>4.5</v>
      </c>
      <c r="E205" s="19">
        <f t="shared" si="46"/>
        <v>14.669999999999984</v>
      </c>
      <c r="F205" s="20">
        <f t="shared" si="47"/>
        <v>3244.9373827544014</v>
      </c>
      <c r="G205" s="21">
        <f t="shared" si="48"/>
        <v>42.263268122323225</v>
      </c>
      <c r="H205" s="17">
        <f t="shared" si="52"/>
        <v>2401.4561669045443</v>
      </c>
      <c r="I205" s="17">
        <f t="shared" si="53"/>
        <v>2182.344357894308</v>
      </c>
      <c r="J205" s="38">
        <f t="shared" si="49"/>
        <v>14118.151668249899</v>
      </c>
      <c r="K205" s="23">
        <f t="shared" si="50"/>
        <v>8.892276086303871</v>
      </c>
      <c r="L205" s="17">
        <f t="shared" si="54"/>
        <v>13948.461550697062</v>
      </c>
      <c r="M205" s="17">
        <f t="shared" si="55"/>
        <v>2182.344357894308</v>
      </c>
      <c r="N205" s="20">
        <f t="shared" si="56"/>
        <v>2571.1462844573816</v>
      </c>
    </row>
    <row r="206" spans="1:14" ht="12.75" customHeight="1">
      <c r="A206" s="16">
        <f aca="true" t="shared" si="57" ref="A206:A219">D206/E206</f>
        <v>0.30487804878048813</v>
      </c>
      <c r="B206" s="19">
        <f aca="true" t="shared" si="58" ref="B206:B219">SQRT(D206^2+E206^2)</f>
        <v>15.430735562506394</v>
      </c>
      <c r="C206" s="21">
        <f aca="true" t="shared" si="59" ref="C206:C219">ATAN2(D206,E206)*180/PI()</f>
        <v>73.04468694797478</v>
      </c>
      <c r="D206" s="19">
        <f t="shared" si="51"/>
        <v>4.5</v>
      </c>
      <c r="E206" s="19">
        <f aca="true" t="shared" si="60" ref="E206:E219">E205+0.02*$E$92</f>
        <v>14.759999999999984</v>
      </c>
      <c r="F206" s="20">
        <f aca="true" t="shared" si="61" ref="F206:F219">SQRT(H206^2+I206^2)</f>
        <v>3263.137649403227</v>
      </c>
      <c r="G206" s="21">
        <f aca="true" t="shared" si="62" ref="G206:G219">ATAN2(H206,I206)*180/PI()</f>
        <v>42.36126983899896</v>
      </c>
      <c r="H206" s="17">
        <f t="shared" si="52"/>
        <v>2411.1682360266586</v>
      </c>
      <c r="I206" s="17">
        <f t="shared" si="53"/>
        <v>2198.7121358943077</v>
      </c>
      <c r="J206" s="38">
        <f aca="true" t="shared" si="63" ref="J206:J219">SQRT(L206^2+M206^2)</f>
        <v>14130.284705466654</v>
      </c>
      <c r="K206" s="23">
        <f aca="true" t="shared" si="64" ref="K206:K219">ATAN2(L206,M206)*180/PI()</f>
        <v>8.951759451862475</v>
      </c>
      <c r="L206" s="17">
        <f t="shared" si="54"/>
        <v>13958.173619819176</v>
      </c>
      <c r="M206" s="17">
        <f t="shared" si="55"/>
        <v>2198.7121358943077</v>
      </c>
      <c r="N206" s="20">
        <f t="shared" si="56"/>
        <v>2583.2793216741375</v>
      </c>
    </row>
    <row r="207" spans="1:14" ht="12.75" customHeight="1">
      <c r="A207" s="16">
        <f t="shared" si="57"/>
        <v>0.30303030303030337</v>
      </c>
      <c r="B207" s="19">
        <f t="shared" si="58"/>
        <v>15.516845684609985</v>
      </c>
      <c r="C207" s="21">
        <f t="shared" si="59"/>
        <v>73.1416012322617</v>
      </c>
      <c r="D207" s="19">
        <f t="shared" si="51"/>
        <v>4.5</v>
      </c>
      <c r="E207" s="19">
        <f t="shared" si="60"/>
        <v>14.849999999999984</v>
      </c>
      <c r="F207" s="20">
        <f t="shared" si="61"/>
        <v>3281.3473569244734</v>
      </c>
      <c r="G207" s="21">
        <f t="shared" si="62"/>
        <v>42.45818412328589</v>
      </c>
      <c r="H207" s="17">
        <f t="shared" si="52"/>
        <v>2420.880305148772</v>
      </c>
      <c r="I207" s="17">
        <f t="shared" si="53"/>
        <v>2215.079913894308</v>
      </c>
      <c r="J207" s="38">
        <f t="shared" si="63"/>
        <v>14142.432946430006</v>
      </c>
      <c r="K207" s="23">
        <f t="shared" si="64"/>
        <v>9.011140689826117</v>
      </c>
      <c r="L207" s="17">
        <f t="shared" si="54"/>
        <v>13967.88568894129</v>
      </c>
      <c r="M207" s="17">
        <f t="shared" si="55"/>
        <v>2215.079913894308</v>
      </c>
      <c r="N207" s="20">
        <f t="shared" si="56"/>
        <v>2595.4275626374892</v>
      </c>
    </row>
    <row r="208" spans="1:14" ht="12.75" customHeight="1">
      <c r="A208" s="16">
        <f t="shared" si="57"/>
        <v>0.3012048192771088</v>
      </c>
      <c r="B208" s="19">
        <f t="shared" si="58"/>
        <v>15.602999711593906</v>
      </c>
      <c r="C208" s="21">
        <f t="shared" si="59"/>
        <v>73.23744553816724</v>
      </c>
      <c r="D208" s="19">
        <f t="shared" si="51"/>
        <v>4.5</v>
      </c>
      <c r="E208" s="19">
        <f t="shared" si="60"/>
        <v>14.939999999999984</v>
      </c>
      <c r="F208" s="20">
        <f t="shared" si="61"/>
        <v>3299.566349010763</v>
      </c>
      <c r="G208" s="21">
        <f t="shared" si="62"/>
        <v>42.55402842919141</v>
      </c>
      <c r="H208" s="17">
        <f t="shared" si="52"/>
        <v>2430.5923742708865</v>
      </c>
      <c r="I208" s="17">
        <f t="shared" si="53"/>
        <v>2231.4476918943074</v>
      </c>
      <c r="J208" s="38">
        <f t="shared" si="63"/>
        <v>14154.596351993916</v>
      </c>
      <c r="K208" s="23">
        <f t="shared" si="64"/>
        <v>9.07041993574792</v>
      </c>
      <c r="L208" s="17">
        <f t="shared" si="54"/>
        <v>13977.597758063403</v>
      </c>
      <c r="M208" s="17">
        <f t="shared" si="55"/>
        <v>2231.4476918943074</v>
      </c>
      <c r="N208" s="20">
        <f t="shared" si="56"/>
        <v>2607.590968201399</v>
      </c>
    </row>
    <row r="209" spans="1:14" ht="12.75" customHeight="1">
      <c r="A209" s="16">
        <f t="shared" si="57"/>
        <v>0.2994011976047907</v>
      </c>
      <c r="B209" s="19">
        <f t="shared" si="58"/>
        <v>15.68919692017407</v>
      </c>
      <c r="C209" s="21">
        <f t="shared" si="59"/>
        <v>73.33223696037301</v>
      </c>
      <c r="D209" s="19">
        <f t="shared" si="51"/>
        <v>4.5</v>
      </c>
      <c r="E209" s="19">
        <f t="shared" si="60"/>
        <v>15.029999999999983</v>
      </c>
      <c r="F209" s="20">
        <f t="shared" si="61"/>
        <v>3317.7944727092104</v>
      </c>
      <c r="G209" s="21">
        <f t="shared" si="62"/>
        <v>42.648819851397185</v>
      </c>
      <c r="H209" s="17">
        <f t="shared" si="52"/>
        <v>2440.304443393</v>
      </c>
      <c r="I209" s="17">
        <f t="shared" si="53"/>
        <v>2247.815469894308</v>
      </c>
      <c r="J209" s="38">
        <f t="shared" si="63"/>
        <v>14166.77488309801</v>
      </c>
      <c r="K209" s="23">
        <f t="shared" si="64"/>
        <v>9.129597325589184</v>
      </c>
      <c r="L209" s="17">
        <f t="shared" si="54"/>
        <v>13987.309827185516</v>
      </c>
      <c r="M209" s="17">
        <f t="shared" si="55"/>
        <v>2247.815469894308</v>
      </c>
      <c r="N209" s="20">
        <f t="shared" si="56"/>
        <v>2619.769499305494</v>
      </c>
    </row>
    <row r="210" spans="1:14" ht="12.75" customHeight="1">
      <c r="A210" s="16">
        <f t="shared" si="57"/>
        <v>0.29761904761904795</v>
      </c>
      <c r="B210" s="19">
        <f t="shared" si="58"/>
        <v>15.775436602515935</v>
      </c>
      <c r="C210" s="21">
        <f t="shared" si="59"/>
        <v>73.42599224309099</v>
      </c>
      <c r="D210" s="19">
        <f t="shared" si="51"/>
        <v>4.5</v>
      </c>
      <c r="E210" s="19">
        <f t="shared" si="60"/>
        <v>15.119999999999983</v>
      </c>
      <c r="F210" s="20">
        <f t="shared" si="61"/>
        <v>3336.0315783340448</v>
      </c>
      <c r="G210" s="21">
        <f t="shared" si="62"/>
        <v>42.742575134115164</v>
      </c>
      <c r="H210" s="17">
        <f t="shared" si="52"/>
        <v>2450.0165125151143</v>
      </c>
      <c r="I210" s="17">
        <f t="shared" si="53"/>
        <v>2264.1832478943074</v>
      </c>
      <c r="J210" s="38">
        <f t="shared" si="63"/>
        <v>14178.968500767625</v>
      </c>
      <c r="K210" s="23">
        <f t="shared" si="64"/>
        <v>9.188672995713622</v>
      </c>
      <c r="L210" s="17">
        <f t="shared" si="54"/>
        <v>13997.021896307631</v>
      </c>
      <c r="M210" s="17">
        <f t="shared" si="55"/>
        <v>2264.1832478943074</v>
      </c>
      <c r="N210" s="20">
        <f t="shared" si="56"/>
        <v>2631.9631169751083</v>
      </c>
    </row>
    <row r="211" spans="1:14" ht="12.75" customHeight="1">
      <c r="A211" s="16">
        <f t="shared" si="57"/>
        <v>0.2958579881656808</v>
      </c>
      <c r="B211" s="19">
        <f t="shared" si="58"/>
        <v>15.861718065833836</v>
      </c>
      <c r="C211" s="21">
        <f t="shared" si="59"/>
        <v>73.51872778867074</v>
      </c>
      <c r="D211" s="19">
        <f t="shared" si="51"/>
        <v>4.5</v>
      </c>
      <c r="E211" s="19">
        <f t="shared" si="60"/>
        <v>15.209999999999983</v>
      </c>
      <c r="F211" s="20">
        <f t="shared" si="61"/>
        <v>3354.2775193818816</v>
      </c>
      <c r="G211" s="21">
        <f t="shared" si="62"/>
        <v>42.83531067969493</v>
      </c>
      <c r="H211" s="17">
        <f t="shared" si="52"/>
        <v>2459.7285816372278</v>
      </c>
      <c r="I211" s="17">
        <f t="shared" si="53"/>
        <v>2280.5510258943077</v>
      </c>
      <c r="J211" s="38">
        <f t="shared" si="63"/>
        <v>14191.17716611384</v>
      </c>
      <c r="K211" s="23">
        <f t="shared" si="64"/>
        <v>9.247647082881665</v>
      </c>
      <c r="L211" s="17">
        <f t="shared" si="54"/>
        <v>14006.733965429745</v>
      </c>
      <c r="M211" s="17">
        <f t="shared" si="55"/>
        <v>2280.5510258943077</v>
      </c>
      <c r="N211" s="20">
        <f t="shared" si="56"/>
        <v>2644.171782321322</v>
      </c>
    </row>
    <row r="212" spans="1:14" ht="12.75" customHeight="1">
      <c r="A212" s="16">
        <f t="shared" si="57"/>
        <v>0.2941176470588239</v>
      </c>
      <c r="B212" s="19">
        <f t="shared" si="58"/>
        <v>15.9480406320024</v>
      </c>
      <c r="C212" s="21">
        <f t="shared" si="59"/>
        <v>73.6104596659652</v>
      </c>
      <c r="D212" s="19">
        <f t="shared" si="51"/>
        <v>4.5</v>
      </c>
      <c r="E212" s="19">
        <f t="shared" si="60"/>
        <v>15.299999999999983</v>
      </c>
      <c r="F212" s="20">
        <f t="shared" si="61"/>
        <v>3372.5321524495475</v>
      </c>
      <c r="G212" s="21">
        <f t="shared" si="62"/>
        <v>42.92704255698937</v>
      </c>
      <c r="H212" s="17">
        <f t="shared" si="52"/>
        <v>2469.4406507593417</v>
      </c>
      <c r="I212" s="17">
        <f t="shared" si="53"/>
        <v>2296.9188038943075</v>
      </c>
      <c r="J212" s="38">
        <f t="shared" si="63"/>
        <v>14203.400840333548</v>
      </c>
      <c r="K212" s="23">
        <f t="shared" si="64"/>
        <v>9.306519724244792</v>
      </c>
      <c r="L212" s="17">
        <f t="shared" si="54"/>
        <v>14016.446034551858</v>
      </c>
      <c r="M212" s="17">
        <f t="shared" si="55"/>
        <v>2296.9188038943075</v>
      </c>
      <c r="N212" s="20">
        <f t="shared" si="56"/>
        <v>2656.3954565410313</v>
      </c>
    </row>
    <row r="213" spans="1:14" ht="12.75" customHeight="1">
      <c r="A213" s="16">
        <f t="shared" si="57"/>
        <v>0.29239766081871377</v>
      </c>
      <c r="B213" s="19">
        <f t="shared" si="58"/>
        <v>16.034403637179636</v>
      </c>
      <c r="C213" s="21">
        <f t="shared" si="59"/>
        <v>73.70120361846267</v>
      </c>
      <c r="D213" s="19">
        <f t="shared" si="51"/>
        <v>4.5</v>
      </c>
      <c r="E213" s="19">
        <f t="shared" si="60"/>
        <v>15.389999999999983</v>
      </c>
      <c r="F213" s="20">
        <f t="shared" si="61"/>
        <v>3390.795337154378</v>
      </c>
      <c r="G213" s="21">
        <f t="shared" si="62"/>
        <v>43.01778650948686</v>
      </c>
      <c r="H213" s="17">
        <f t="shared" si="52"/>
        <v>2479.152719881455</v>
      </c>
      <c r="I213" s="17">
        <f t="shared" si="53"/>
        <v>2313.2865818943087</v>
      </c>
      <c r="J213" s="38">
        <f t="shared" si="63"/>
        <v>14215.639484709483</v>
      </c>
      <c r="K213" s="23">
        <f t="shared" si="64"/>
        <v>9.365291057339894</v>
      </c>
      <c r="L213" s="17">
        <f t="shared" si="54"/>
        <v>14026.158103673972</v>
      </c>
      <c r="M213" s="17">
        <f t="shared" si="55"/>
        <v>2313.2865818943087</v>
      </c>
      <c r="N213" s="20">
        <f t="shared" si="56"/>
        <v>2668.6341009169664</v>
      </c>
    </row>
    <row r="214" spans="1:14" ht="12.75" customHeight="1">
      <c r="A214" s="16">
        <f t="shared" si="57"/>
        <v>0.290697674418605</v>
      </c>
      <c r="B214" s="19">
        <f t="shared" si="58"/>
        <v>16.12080643144131</v>
      </c>
      <c r="C214" s="21">
        <f t="shared" si="59"/>
        <v>73.79097507219201</v>
      </c>
      <c r="D214" s="19">
        <f t="shared" si="51"/>
        <v>4.5</v>
      </c>
      <c r="E214" s="19">
        <f t="shared" si="60"/>
        <v>15.479999999999983</v>
      </c>
      <c r="F214" s="20">
        <f t="shared" si="61"/>
        <v>3409.066936056894</v>
      </c>
      <c r="G214" s="21">
        <f t="shared" si="62"/>
        <v>43.1075579632162</v>
      </c>
      <c r="H214" s="17">
        <f t="shared" si="52"/>
        <v>2488.8647890035686</v>
      </c>
      <c r="I214" s="17">
        <f t="shared" si="53"/>
        <v>2329.654359894308</v>
      </c>
      <c r="J214" s="38">
        <f t="shared" si="63"/>
        <v>14227.893060610251</v>
      </c>
      <c r="K214" s="23">
        <f t="shared" si="64"/>
        <v>9.423961220083655</v>
      </c>
      <c r="L214" s="17">
        <f t="shared" si="54"/>
        <v>14035.870172796085</v>
      </c>
      <c r="M214" s="17">
        <f t="shared" si="55"/>
        <v>2329.654359894308</v>
      </c>
      <c r="N214" s="20">
        <f t="shared" si="56"/>
        <v>2680.8876768177342</v>
      </c>
    </row>
    <row r="215" spans="1:14" ht="12.75" customHeight="1">
      <c r="A215" s="16">
        <f t="shared" si="57"/>
        <v>0.2890173410404627</v>
      </c>
      <c r="B215" s="19">
        <f t="shared" si="58"/>
        <v>16.207248378426225</v>
      </c>
      <c r="C215" s="21">
        <f t="shared" si="59"/>
        <v>73.87978914340808</v>
      </c>
      <c r="D215" s="19">
        <f t="shared" si="51"/>
        <v>4.5</v>
      </c>
      <c r="E215" s="19">
        <f t="shared" si="60"/>
        <v>15.569999999999983</v>
      </c>
      <c r="F215" s="20">
        <f t="shared" si="61"/>
        <v>3427.346814585794</v>
      </c>
      <c r="G215" s="21">
        <f t="shared" si="62"/>
        <v>43.19637203443226</v>
      </c>
      <c r="H215" s="17">
        <f t="shared" si="52"/>
        <v>2498.5768581256825</v>
      </c>
      <c r="I215" s="17">
        <f t="shared" si="53"/>
        <v>2346.0221378943083</v>
      </c>
      <c r="J215" s="38">
        <f t="shared" si="63"/>
        <v>14240.16152949039</v>
      </c>
      <c r="K215" s="23">
        <f t="shared" si="64"/>
        <v>9.482530350767025</v>
      </c>
      <c r="L215" s="17">
        <f t="shared" si="54"/>
        <v>14045.5822419182</v>
      </c>
      <c r="M215" s="17">
        <f t="shared" si="55"/>
        <v>2346.0221378943083</v>
      </c>
      <c r="N215" s="20">
        <f t="shared" si="56"/>
        <v>2693.1561456978725</v>
      </c>
    </row>
    <row r="216" spans="1:14" ht="12.75" customHeight="1">
      <c r="A216" s="16">
        <f t="shared" si="57"/>
        <v>0.2873563218390808</v>
      </c>
      <c r="B216" s="19">
        <f t="shared" si="58"/>
        <v>16.293728854992015</v>
      </c>
      <c r="C216" s="21">
        <f t="shared" si="59"/>
        <v>73.96766064606402</v>
      </c>
      <c r="D216" s="19">
        <f t="shared" si="51"/>
        <v>4.5</v>
      </c>
      <c r="E216" s="19">
        <f t="shared" si="60"/>
        <v>15.659999999999982</v>
      </c>
      <c r="F216" s="20">
        <f t="shared" si="61"/>
        <v>3445.6348409651614</v>
      </c>
      <c r="G216" s="21">
        <f t="shared" si="62"/>
        <v>43.28424353708821</v>
      </c>
      <c r="H216" s="17">
        <f t="shared" si="52"/>
        <v>2508.288927247796</v>
      </c>
      <c r="I216" s="17">
        <f t="shared" si="53"/>
        <v>2362.3899158943077</v>
      </c>
      <c r="J216" s="38">
        <f t="shared" si="63"/>
        <v>14252.444852890376</v>
      </c>
      <c r="K216" s="23">
        <f t="shared" si="64"/>
        <v>9.540998588049646</v>
      </c>
      <c r="L216" s="17">
        <f t="shared" si="54"/>
        <v>14055.294311040314</v>
      </c>
      <c r="M216" s="17">
        <f t="shared" si="55"/>
        <v>2362.3899158943077</v>
      </c>
      <c r="N216" s="20">
        <f t="shared" si="56"/>
        <v>2705.439469097859</v>
      </c>
    </row>
    <row r="217" spans="1:14" ht="12.75" customHeight="1">
      <c r="A217" s="16">
        <f t="shared" si="57"/>
        <v>0.28571428571428603</v>
      </c>
      <c r="B217" s="19">
        <f t="shared" si="58"/>
        <v>16.380247250881148</v>
      </c>
      <c r="C217" s="21">
        <f t="shared" si="59"/>
        <v>74.05460409907712</v>
      </c>
      <c r="D217" s="19">
        <f t="shared" si="51"/>
        <v>4.5</v>
      </c>
      <c r="E217" s="19">
        <f t="shared" si="60"/>
        <v>15.749999999999982</v>
      </c>
      <c r="F217" s="20">
        <f t="shared" si="61"/>
        <v>3463.9308861438362</v>
      </c>
      <c r="G217" s="21">
        <f t="shared" si="62"/>
        <v>43.37118699010131</v>
      </c>
      <c r="H217" s="17">
        <f t="shared" si="52"/>
        <v>2518.0009963699104</v>
      </c>
      <c r="I217" s="17">
        <f t="shared" si="53"/>
        <v>2378.757693894307</v>
      </c>
      <c r="J217" s="38">
        <f t="shared" si="63"/>
        <v>14264.742992436673</v>
      </c>
      <c r="K217" s="23">
        <f t="shared" si="64"/>
        <v>9.599366070954385</v>
      </c>
      <c r="L217" s="17">
        <f t="shared" si="54"/>
        <v>14065.006380162427</v>
      </c>
      <c r="M217" s="17">
        <f t="shared" si="55"/>
        <v>2378.757693894307</v>
      </c>
      <c r="N217" s="20">
        <f t="shared" si="56"/>
        <v>2717.7376086441564</v>
      </c>
    </row>
    <row r="218" spans="1:14" ht="12.75" customHeight="1">
      <c r="A218" s="16">
        <f t="shared" si="57"/>
        <v>0.2840909090909094</v>
      </c>
      <c r="B218" s="19">
        <f t="shared" si="58"/>
        <v>16.46680296839673</v>
      </c>
      <c r="C218" s="21">
        <f t="shared" si="59"/>
        <v>74.1406337333943</v>
      </c>
      <c r="D218" s="19">
        <f t="shared" si="51"/>
        <v>4.5</v>
      </c>
      <c r="E218" s="19">
        <f t="shared" si="60"/>
        <v>15.839999999999982</v>
      </c>
      <c r="F218" s="20">
        <f t="shared" si="61"/>
        <v>3482.2348237268566</v>
      </c>
      <c r="G218" s="21">
        <f t="shared" si="62"/>
        <v>43.45721662441848</v>
      </c>
      <c r="H218" s="17">
        <f t="shared" si="52"/>
        <v>2527.713065492024</v>
      </c>
      <c r="I218" s="17">
        <f t="shared" si="53"/>
        <v>2395.1254718943073</v>
      </c>
      <c r="J218" s="38">
        <f t="shared" si="63"/>
        <v>14277.055909841762</v>
      </c>
      <c r="K218" s="23">
        <f t="shared" si="64"/>
        <v>9.657632938861848</v>
      </c>
      <c r="L218" s="17">
        <f t="shared" si="54"/>
        <v>14074.71844928454</v>
      </c>
      <c r="M218" s="17">
        <f t="shared" si="55"/>
        <v>2395.1254718943073</v>
      </c>
      <c r="N218" s="20">
        <f t="shared" si="56"/>
        <v>2730.0505260492446</v>
      </c>
    </row>
    <row r="219" spans="1:14" ht="12.75" customHeight="1">
      <c r="A219" s="16">
        <f t="shared" si="57"/>
        <v>0.28248587570621503</v>
      </c>
      <c r="B219" s="19">
        <f t="shared" si="58"/>
        <v>16.553395422087863</v>
      </c>
      <c r="C219" s="21">
        <f t="shared" si="59"/>
        <v>74.22576349886336</v>
      </c>
      <c r="D219" s="19">
        <f t="shared" si="51"/>
        <v>4.5</v>
      </c>
      <c r="E219" s="19">
        <f t="shared" si="60"/>
        <v>15.929999999999982</v>
      </c>
      <c r="F219" s="20">
        <f t="shared" si="61"/>
        <v>3500.5465299089205</v>
      </c>
      <c r="G219" s="21">
        <f t="shared" si="62"/>
        <v>43.54234638988755</v>
      </c>
      <c r="H219" s="17">
        <f t="shared" si="52"/>
        <v>2537.4251346141373</v>
      </c>
      <c r="I219" s="17">
        <f t="shared" si="53"/>
        <v>2411.4932498943085</v>
      </c>
      <c r="J219" s="38">
        <f t="shared" si="63"/>
        <v>14289.383566904156</v>
      </c>
      <c r="K219" s="23">
        <f t="shared" si="64"/>
        <v>9.715799331504966</v>
      </c>
      <c r="L219" s="17">
        <f t="shared" si="54"/>
        <v>14084.430518406654</v>
      </c>
      <c r="M219" s="17">
        <f t="shared" si="55"/>
        <v>2411.4932498943085</v>
      </c>
      <c r="N219" s="20">
        <f t="shared" si="56"/>
        <v>2742.3781831116394</v>
      </c>
    </row>
    <row r="220" ht="12.75" customHeight="1">
      <c r="F220" s="17"/>
    </row>
    <row r="221" spans="2:14" ht="12.75" customHeight="1">
      <c r="B221" s="12" t="s">
        <v>10</v>
      </c>
      <c r="C221" s="13" t="s">
        <v>3</v>
      </c>
      <c r="D221" s="14" t="s">
        <v>1</v>
      </c>
      <c r="E221" s="14" t="s">
        <v>2</v>
      </c>
      <c r="F221" s="24" t="s">
        <v>11</v>
      </c>
      <c r="G221" s="13" t="s">
        <v>3</v>
      </c>
      <c r="H221" s="16" t="s">
        <v>1</v>
      </c>
      <c r="I221" s="16" t="s">
        <v>2</v>
      </c>
      <c r="J221" s="15" t="s">
        <v>9</v>
      </c>
      <c r="K221" s="13" t="s">
        <v>3</v>
      </c>
      <c r="L221" s="16" t="s">
        <v>1</v>
      </c>
      <c r="M221" s="16" t="s">
        <v>2</v>
      </c>
      <c r="N221" s="17" t="s">
        <v>102</v>
      </c>
    </row>
    <row r="222" spans="1:14" ht="12.75" customHeight="1">
      <c r="A222" s="16">
        <f>H3</f>
        <v>0.7142857142857143</v>
      </c>
      <c r="B222" s="19">
        <f>SQRT(D222^2+E222^2)</f>
        <v>7.226860885580234</v>
      </c>
      <c r="C222" s="21">
        <f>ATAN2(D222,E222)*180/PI()</f>
        <v>51.48811274603343</v>
      </c>
      <c r="D222" s="19">
        <f>$J$3</f>
        <v>4.5</v>
      </c>
      <c r="E222" s="19">
        <f>J6</f>
        <v>5.6548667764616285</v>
      </c>
      <c r="F222" s="20">
        <f>SQRT(H222^2+I222^2)</f>
        <v>1528.2642714736521</v>
      </c>
      <c r="G222" s="21">
        <f>ATAN2(H222,I222)*180/PI()</f>
        <v>20.80469563705761</v>
      </c>
      <c r="H222" s="17">
        <f>COS((C222+$D$7)/180*PI())*$C$7*B222</f>
        <v>1428.6162001037787</v>
      </c>
      <c r="I222" s="17">
        <f>SIN((C222+$D$7)/180*PI())*$C$7*B222</f>
        <v>542.8143663020837</v>
      </c>
      <c r="J222" s="22">
        <f>SQRT(L222^2+M222^2)</f>
        <v>12986.970506039479</v>
      </c>
      <c r="K222" s="23">
        <f>ATAN2(L222,M222)*180/PI()</f>
        <v>2.3954805165979636</v>
      </c>
      <c r="L222" s="17">
        <f>H222+$E$5</f>
        <v>12975.621583896296</v>
      </c>
      <c r="M222" s="17">
        <f>I222+$F$5</f>
        <v>542.8143663020837</v>
      </c>
      <c r="N222" s="20">
        <f>J222-C5*1000</f>
        <v>1439.965122246962</v>
      </c>
    </row>
    <row r="223" ht="12.75" customHeight="1">
      <c r="F223" s="17"/>
    </row>
    <row r="224" ht="12.75" customHeight="1">
      <c r="F224" s="17"/>
    </row>
    <row r="225" ht="12.75" customHeight="1">
      <c r="F225" s="17"/>
    </row>
    <row r="226" ht="12.75" customHeight="1">
      <c r="F226" s="17"/>
    </row>
    <row r="227" ht="12.75" customHeight="1">
      <c r="F227" s="17"/>
    </row>
    <row r="228" ht="12.75" customHeight="1">
      <c r="F228" s="17"/>
    </row>
    <row r="229" ht="12.75" customHeight="1">
      <c r="F229" s="17"/>
    </row>
    <row r="230" ht="12.75" customHeight="1">
      <c r="F230" s="17"/>
    </row>
    <row r="231" ht="12.75" customHeight="1">
      <c r="F231" s="17"/>
    </row>
    <row r="232" ht="12.75" customHeight="1">
      <c r="F232" s="17"/>
    </row>
    <row r="233" ht="12.75" customHeight="1">
      <c r="F233" s="17"/>
    </row>
    <row r="234" ht="12.75" customHeight="1">
      <c r="F234" s="17"/>
    </row>
    <row r="235" ht="12.75" customHeight="1">
      <c r="F235" s="17"/>
    </row>
    <row r="236" ht="12.75" customHeight="1">
      <c r="F236" s="17"/>
    </row>
    <row r="237" ht="12.75" customHeight="1">
      <c r="F237" s="17"/>
    </row>
    <row r="238" ht="12.75" customHeight="1">
      <c r="F238" s="17"/>
    </row>
    <row r="239" ht="12.75" customHeight="1">
      <c r="F239" s="17"/>
    </row>
    <row r="240" ht="12.75" customHeight="1">
      <c r="F240" s="17"/>
    </row>
    <row r="241" ht="12.75" customHeight="1">
      <c r="F241" s="17"/>
    </row>
    <row r="242" ht="12.75" customHeight="1">
      <c r="F242" s="17"/>
    </row>
    <row r="243" ht="12.75" customHeight="1">
      <c r="F243" s="17"/>
    </row>
    <row r="244" ht="12.75" customHeight="1">
      <c r="F244" s="17"/>
    </row>
    <row r="245" ht="12.75" customHeight="1">
      <c r="F245" s="17"/>
    </row>
    <row r="246" ht="12.75" customHeight="1">
      <c r="F246" s="17"/>
    </row>
    <row r="247" ht="12.75" customHeight="1">
      <c r="F247" s="17"/>
    </row>
    <row r="248" ht="12.75" customHeight="1">
      <c r="F248" s="17"/>
    </row>
    <row r="249" ht="12.75" customHeight="1">
      <c r="F249" s="17"/>
    </row>
    <row r="250" ht="12.75" customHeight="1">
      <c r="F250" s="17"/>
    </row>
    <row r="251" ht="12.75" customHeight="1">
      <c r="F251" s="17"/>
    </row>
    <row r="252" ht="12.75" customHeight="1">
      <c r="F252" s="17"/>
    </row>
    <row r="253" ht="12.75" customHeight="1">
      <c r="F253" s="17"/>
    </row>
    <row r="254" ht="12.75" customHeight="1">
      <c r="F254" s="17"/>
    </row>
    <row r="255" ht="12.75" customHeight="1">
      <c r="F255" s="17"/>
    </row>
    <row r="256" ht="12.75" customHeight="1">
      <c r="F256" s="17"/>
    </row>
    <row r="257" ht="12.75" customHeight="1">
      <c r="F257" s="17"/>
    </row>
    <row r="258" ht="12.75" customHeight="1">
      <c r="F258" s="17"/>
    </row>
    <row r="259" ht="12.75" customHeight="1">
      <c r="F259" s="17"/>
    </row>
    <row r="260" ht="12.75" customHeight="1">
      <c r="F260" s="17"/>
    </row>
    <row r="261" ht="12.75" customHeight="1">
      <c r="F261" s="17"/>
    </row>
    <row r="262" ht="12.75" customHeight="1">
      <c r="F262" s="17"/>
    </row>
    <row r="263" ht="12.75" customHeight="1">
      <c r="F263" s="17"/>
    </row>
    <row r="264" ht="12.75" customHeight="1">
      <c r="F264" s="17"/>
    </row>
    <row r="265" ht="12.75" customHeight="1">
      <c r="F265" s="17"/>
    </row>
    <row r="266" ht="12.75" customHeight="1">
      <c r="F266" s="17"/>
    </row>
    <row r="267" ht="12.75" customHeight="1">
      <c r="F267" s="17"/>
    </row>
    <row r="268" ht="12.75" customHeight="1">
      <c r="F268" s="17"/>
    </row>
    <row r="269" ht="12.75" customHeight="1">
      <c r="F269" s="17"/>
    </row>
    <row r="270" ht="12.75" customHeight="1">
      <c r="F270" s="17"/>
    </row>
    <row r="271" ht="12.75" customHeight="1">
      <c r="F271" s="17"/>
    </row>
    <row r="272" ht="12.75" customHeight="1">
      <c r="F272" s="17"/>
    </row>
    <row r="273" ht="12.75" customHeight="1">
      <c r="F273" s="17"/>
    </row>
    <row r="274" ht="12.75" customHeight="1">
      <c r="F274" s="17"/>
    </row>
    <row r="275" ht="12.75" customHeight="1">
      <c r="F275" s="17"/>
    </row>
    <row r="276" ht="12.75" customHeight="1">
      <c r="F276" s="17"/>
    </row>
    <row r="277" ht="12.75" customHeight="1">
      <c r="F277" s="17"/>
    </row>
    <row r="278" ht="12.75" customHeight="1">
      <c r="F278" s="17"/>
    </row>
    <row r="279" ht="12.75" customHeight="1">
      <c r="F279" s="17"/>
    </row>
    <row r="280" ht="12.75" customHeight="1">
      <c r="F280" s="17"/>
    </row>
    <row r="281" ht="12.75" customHeight="1">
      <c r="F281" s="17"/>
    </row>
    <row r="282" ht="12.75" customHeight="1">
      <c r="F282" s="17"/>
    </row>
    <row r="283" ht="12.75" customHeight="1">
      <c r="F283" s="17"/>
    </row>
    <row r="284" ht="12.75" customHeight="1">
      <c r="F284" s="17"/>
    </row>
    <row r="285" ht="12.75" customHeight="1">
      <c r="F285" s="17"/>
    </row>
    <row r="286" ht="12.75" customHeight="1">
      <c r="F286" s="17"/>
    </row>
    <row r="287" ht="12.75" customHeight="1">
      <c r="F287" s="17"/>
    </row>
    <row r="288" ht="12.75" customHeight="1">
      <c r="F288" s="17"/>
    </row>
    <row r="289" ht="12.75" customHeight="1">
      <c r="F289" s="17"/>
    </row>
    <row r="290" ht="12.75" customHeight="1">
      <c r="F290" s="17"/>
    </row>
    <row r="291" ht="12.75" customHeight="1">
      <c r="F291" s="17"/>
    </row>
    <row r="292" ht="12.75" customHeight="1">
      <c r="F292" s="17"/>
    </row>
  </sheetData>
  <sheetProtection password="C407" sheet="1" objects="1" scenarios="1"/>
  <printOptions/>
  <pageMargins left="0.5905511811023623" right="0.31496062992125984" top="0.7874015748031497" bottom="0.7874015748031497" header="0.5118110236220472" footer="0.5118110236220472"/>
  <pageSetup horizontalDpi="300" verticalDpi="300" orientation="portrait" paperSize="9" r:id="rId4"/>
  <headerFooter alignWithMargins="0">
    <oddHeader>&amp;L&amp;"Arial,Standard"&amp;D - &amp;T&amp;C&amp;"Arial,Standard"&amp;F&amp;R&amp;"Arial,Standard"Beispiel ........  Seite &amp;P / &amp;N</oddHeader>
    <oddFooter>&amp;L&amp;"Arial,Standard"&amp;9Ausgabe: 10-2006 / 02&amp;C&amp;"Arial,Standard"&amp;8(für sinusförmige Größen und stationären Netzzustand)&amp;R&amp;"Arial,Standard"&amp;8
Verfasser: Helmut Karger
e-mail: heka@vr-web.de</oddFooter>
  </headerFooter>
  <drawing r:id="rId3"/>
  <legacyDrawing r:id="rId2"/>
  <oleObjects>
    <oleObject progId="Designer.Drawing.7" shapeId="47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Karger</dc:creator>
  <cp:keywords/>
  <dc:description/>
  <cp:lastModifiedBy>Helmut Karger</cp:lastModifiedBy>
  <cp:lastPrinted>2006-11-29T07:09:07Z</cp:lastPrinted>
  <dcterms:created xsi:type="dcterms:W3CDTF">1999-12-08T17:18:57Z</dcterms:created>
  <dcterms:modified xsi:type="dcterms:W3CDTF">2006-11-29T07:11:00Z</dcterms:modified>
  <cp:category/>
  <cp:version/>
  <cp:contentType/>
  <cp:contentStatus/>
</cp:coreProperties>
</file>