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25" windowHeight="73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'Tabelle1'!$A$1:$J$295</definedName>
  </definedNames>
  <calcPr fullCalcOnLoad="1"/>
</workbook>
</file>

<file path=xl/sharedStrings.xml><?xml version="1.0" encoding="utf-8"?>
<sst xmlns="http://schemas.openxmlformats.org/spreadsheetml/2006/main" count="610" uniqueCount="388">
  <si>
    <t>C</t>
  </si>
  <si>
    <t>D</t>
  </si>
  <si>
    <t>E</t>
  </si>
  <si>
    <t>F</t>
  </si>
  <si>
    <t>G</t>
  </si>
  <si>
    <t>H</t>
  </si>
  <si>
    <t>I</t>
  </si>
  <si>
    <t>Betrag</t>
  </si>
  <si>
    <t>Re</t>
  </si>
  <si>
    <t>Im</t>
  </si>
  <si>
    <t>J</t>
  </si>
  <si>
    <t>Transformator A</t>
  </si>
  <si>
    <r>
      <t>S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[MVA]</t>
    </r>
  </si>
  <si>
    <r>
      <t>Z</t>
    </r>
    <r>
      <rPr>
        <vertAlign val="subscript"/>
        <sz val="8"/>
        <rFont val="Arial"/>
        <family val="2"/>
      </rPr>
      <t>kA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W]</t>
    </r>
  </si>
  <si>
    <r>
      <t>R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</si>
  <si>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X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</si>
  <si>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U</t>
    </r>
    <r>
      <rPr>
        <vertAlign val="subscript"/>
        <sz val="8"/>
        <rFont val="Arial"/>
        <family val="2"/>
      </rPr>
      <t>ZrA</t>
    </r>
    <r>
      <rPr>
        <sz val="8"/>
        <rFont val="Arial"/>
        <family val="2"/>
      </rPr>
      <t xml:space="preserve"> [V]</t>
    </r>
  </si>
  <si>
    <r>
      <t>U</t>
    </r>
    <r>
      <rPr>
        <vertAlign val="subscript"/>
        <sz val="8"/>
        <rFont val="Arial"/>
        <family val="2"/>
      </rPr>
      <t>RrA</t>
    </r>
    <r>
      <rPr>
        <sz val="8"/>
        <rFont val="Arial"/>
        <family val="2"/>
      </rPr>
      <t xml:space="preserve"> [V]</t>
    </r>
  </si>
  <si>
    <r>
      <t>U</t>
    </r>
    <r>
      <rPr>
        <vertAlign val="subscript"/>
        <sz val="8"/>
        <rFont val="Arial"/>
        <family val="2"/>
      </rPr>
      <t>XrA</t>
    </r>
    <r>
      <rPr>
        <sz val="8"/>
        <rFont val="Arial"/>
        <family val="2"/>
      </rPr>
      <t xml:space="preserve"> [V]</t>
    </r>
  </si>
  <si>
    <t>Transformator B</t>
  </si>
  <si>
    <r>
      <t>S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 xml:space="preserve"> [MVA]</t>
    </r>
  </si>
  <si>
    <r>
      <t>Z</t>
    </r>
    <r>
      <rPr>
        <vertAlign val="subscript"/>
        <sz val="8"/>
        <rFont val="Arial"/>
        <family val="2"/>
      </rPr>
      <t>kB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W]</t>
    </r>
  </si>
  <si>
    <r>
      <t>R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</si>
  <si>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X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</si>
  <si>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U</t>
    </r>
    <r>
      <rPr>
        <vertAlign val="subscript"/>
        <sz val="8"/>
        <rFont val="Arial"/>
        <family val="2"/>
      </rPr>
      <t>ZrB</t>
    </r>
    <r>
      <rPr>
        <sz val="8"/>
        <rFont val="Arial"/>
        <family val="2"/>
      </rPr>
      <t xml:space="preserve"> [V]</t>
    </r>
  </si>
  <si>
    <r>
      <t>U</t>
    </r>
    <r>
      <rPr>
        <vertAlign val="subscript"/>
        <sz val="8"/>
        <rFont val="Arial"/>
        <family val="2"/>
      </rPr>
      <t>RrB</t>
    </r>
    <r>
      <rPr>
        <sz val="8"/>
        <rFont val="Arial"/>
        <family val="2"/>
      </rPr>
      <t xml:space="preserve"> [V]</t>
    </r>
  </si>
  <si>
    <r>
      <t>U</t>
    </r>
    <r>
      <rPr>
        <vertAlign val="subscript"/>
        <sz val="8"/>
        <rFont val="Arial"/>
        <family val="2"/>
      </rPr>
      <t>XrB</t>
    </r>
    <r>
      <rPr>
        <sz val="8"/>
        <rFont val="Arial"/>
        <family val="2"/>
      </rPr>
      <t xml:space="preserve"> [V]</t>
    </r>
  </si>
  <si>
    <t>R</t>
  </si>
  <si>
    <t>X</t>
  </si>
  <si>
    <t>I [A]</t>
  </si>
  <si>
    <t>Impedanzen (pro Strang)</t>
  </si>
  <si>
    <t>Kreisstromimpedanz</t>
  </si>
  <si>
    <t>(+1 = ind., -1 = kap.)</t>
  </si>
  <si>
    <t>S [MVA]</t>
  </si>
  <si>
    <t>P [MW]</t>
  </si>
  <si>
    <t>Kreisstrom</t>
  </si>
  <si>
    <r>
      <t>R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</si>
  <si>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X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</si>
  <si>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R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</si>
  <si>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X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</si>
  <si>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U</t>
    </r>
    <r>
      <rPr>
        <vertAlign val="subscript"/>
        <sz val="8"/>
        <rFont val="Arial"/>
        <family val="2"/>
      </rPr>
      <t>2rA</t>
    </r>
    <r>
      <rPr>
        <sz val="8"/>
        <rFont val="Arial"/>
        <family val="2"/>
      </rPr>
      <t xml:space="preserve"> [kV]</t>
    </r>
  </si>
  <si>
    <r>
      <t>U</t>
    </r>
    <r>
      <rPr>
        <vertAlign val="subscript"/>
        <sz val="8"/>
        <rFont val="Arial"/>
        <family val="2"/>
      </rPr>
      <t>2rB</t>
    </r>
    <r>
      <rPr>
        <sz val="8"/>
        <rFont val="Arial"/>
        <family val="2"/>
      </rPr>
      <t xml:space="preserve"> [kV]</t>
    </r>
  </si>
  <si>
    <r>
      <t>I</t>
    </r>
    <r>
      <rPr>
        <vertAlign val="subscript"/>
        <sz val="8"/>
        <rFont val="Arial"/>
        <family val="2"/>
      </rPr>
      <t>2rA</t>
    </r>
    <r>
      <rPr>
        <sz val="8"/>
        <rFont val="Arial"/>
        <family val="2"/>
      </rPr>
      <t xml:space="preserve"> [A]</t>
    </r>
  </si>
  <si>
    <r>
      <t>I</t>
    </r>
    <r>
      <rPr>
        <vertAlign val="subscript"/>
        <sz val="8"/>
        <rFont val="Arial"/>
        <family val="2"/>
      </rPr>
      <t>2rB</t>
    </r>
    <r>
      <rPr>
        <sz val="8"/>
        <rFont val="Arial"/>
        <family val="2"/>
      </rPr>
      <t xml:space="preserve"> [A]</t>
    </r>
  </si>
  <si>
    <r>
      <t>Z</t>
    </r>
    <r>
      <rPr>
        <b/>
        <vertAlign val="subscript"/>
        <sz val="8"/>
        <rFont val="Arial"/>
        <family val="2"/>
      </rPr>
      <t>A</t>
    </r>
    <r>
      <rPr>
        <b/>
        <sz val="8"/>
        <rFont val="Arial"/>
        <family val="2"/>
      </rPr>
      <t xml:space="preserve"> = Z</t>
    </r>
    <r>
      <rPr>
        <b/>
        <vertAlign val="subscript"/>
        <sz val="8"/>
        <rFont val="Arial"/>
        <family val="2"/>
      </rPr>
      <t>kA</t>
    </r>
    <r>
      <rPr>
        <b/>
        <sz val="8"/>
        <rFont val="Arial"/>
        <family val="2"/>
      </rPr>
      <t xml:space="preserve"> + Z</t>
    </r>
    <r>
      <rPr>
        <b/>
        <vertAlign val="subscript"/>
        <sz val="8"/>
        <rFont val="Arial"/>
        <family val="2"/>
      </rPr>
      <t>LtgA</t>
    </r>
  </si>
  <si>
    <r>
      <t>Z</t>
    </r>
    <r>
      <rPr>
        <b/>
        <vertAlign val="subscript"/>
        <sz val="8"/>
        <rFont val="Arial"/>
        <family val="2"/>
      </rPr>
      <t>B</t>
    </r>
    <r>
      <rPr>
        <b/>
        <sz val="8"/>
        <rFont val="Arial"/>
        <family val="2"/>
      </rPr>
      <t xml:space="preserve"> = Z</t>
    </r>
    <r>
      <rPr>
        <b/>
        <vertAlign val="subscript"/>
        <sz val="8"/>
        <rFont val="Arial"/>
        <family val="2"/>
      </rPr>
      <t>kB</t>
    </r>
    <r>
      <rPr>
        <b/>
        <sz val="8"/>
        <rFont val="Arial"/>
        <family val="2"/>
      </rPr>
      <t xml:space="preserve"> + Z</t>
    </r>
    <r>
      <rPr>
        <b/>
        <vertAlign val="subscript"/>
        <sz val="8"/>
        <rFont val="Arial"/>
        <family val="2"/>
      </rPr>
      <t>LtgB</t>
    </r>
  </si>
  <si>
    <r>
      <t>cos</t>
    </r>
    <r>
      <rPr>
        <sz val="8"/>
        <rFont val="Symbol"/>
        <family val="1"/>
      </rPr>
      <t>j</t>
    </r>
  </si>
  <si>
    <r>
      <t>Ersatzspannung U</t>
    </r>
    <r>
      <rPr>
        <b/>
        <i/>
        <vertAlign val="subscript"/>
        <sz val="8"/>
        <rFont val="Arial"/>
        <family val="2"/>
      </rPr>
      <t>AB0</t>
    </r>
  </si>
  <si>
    <r>
      <t>S</t>
    </r>
    <r>
      <rPr>
        <vertAlign val="subscript"/>
        <sz val="8"/>
        <rFont val="Arial"/>
        <family val="2"/>
      </rPr>
      <t>ri</t>
    </r>
    <r>
      <rPr>
        <sz val="8"/>
        <rFont val="Arial"/>
        <family val="2"/>
      </rPr>
      <t xml:space="preserve"> / S</t>
    </r>
    <r>
      <rPr>
        <vertAlign val="subscript"/>
        <sz val="8"/>
        <rFont val="Arial"/>
        <family val="2"/>
      </rPr>
      <t>r</t>
    </r>
    <r>
      <rPr>
        <vertAlign val="subscript"/>
        <sz val="8"/>
        <rFont val="Symbol"/>
        <family val="1"/>
      </rPr>
      <t>S</t>
    </r>
  </si>
  <si>
    <t>Leistungsreduzierung [%]</t>
  </si>
  <si>
    <t>Bemessungswert</t>
  </si>
  <si>
    <t>Istwert</t>
  </si>
  <si>
    <r>
      <t>S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/ S</t>
    </r>
    <r>
      <rPr>
        <vertAlign val="subscript"/>
        <sz val="8"/>
        <rFont val="Arial"/>
        <family val="2"/>
      </rPr>
      <t>rB</t>
    </r>
  </si>
  <si>
    <t>Verhältnis A / B</t>
  </si>
  <si>
    <r>
      <t>Kreisstrom I</t>
    </r>
    <r>
      <rPr>
        <vertAlign val="subscript"/>
        <sz val="8"/>
        <rFont val="Arial"/>
        <family val="2"/>
      </rPr>
      <t>cirA</t>
    </r>
  </si>
  <si>
    <t>Ip [A]</t>
  </si>
  <si>
    <t>Iq [A]</t>
  </si>
  <si>
    <r>
      <t>U</t>
    </r>
    <r>
      <rPr>
        <vertAlign val="subscript"/>
        <sz val="8"/>
        <rFont val="Arial"/>
        <family val="2"/>
      </rPr>
      <t>AB0</t>
    </r>
    <r>
      <rPr>
        <sz val="8"/>
        <rFont val="Arial"/>
        <family val="2"/>
      </rPr>
      <t xml:space="preserve"> [V]</t>
    </r>
  </si>
  <si>
    <r>
      <t>z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[%]</t>
    </r>
  </si>
  <si>
    <r>
      <t>z</t>
    </r>
    <r>
      <rPr>
        <vertAlign val="subscript"/>
        <sz val="8"/>
        <rFont val="Arial"/>
        <family val="2"/>
      </rPr>
      <t>XA</t>
    </r>
    <r>
      <rPr>
        <sz val="8"/>
        <rFont val="Arial"/>
        <family val="2"/>
      </rPr>
      <t xml:space="preserve"> [%]</t>
    </r>
  </si>
  <si>
    <r>
      <t>z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 xml:space="preserve"> [%]</t>
    </r>
  </si>
  <si>
    <r>
      <t>z</t>
    </r>
    <r>
      <rPr>
        <vertAlign val="subscript"/>
        <sz val="8"/>
        <rFont val="Arial"/>
        <family val="2"/>
      </rPr>
      <t>XB</t>
    </r>
    <r>
      <rPr>
        <sz val="8"/>
        <rFont val="Arial"/>
        <family val="2"/>
      </rPr>
      <t xml:space="preserve"> [%]</t>
    </r>
  </si>
  <si>
    <r>
      <t>z</t>
    </r>
    <r>
      <rPr>
        <vertAlign val="subscript"/>
        <sz val="8"/>
        <rFont val="Arial"/>
        <family val="2"/>
      </rPr>
      <t>mittel</t>
    </r>
    <r>
      <rPr>
        <sz val="8"/>
        <rFont val="Arial"/>
        <family val="2"/>
      </rPr>
      <t xml:space="preserve"> [%]</t>
    </r>
  </si>
  <si>
    <r>
      <t>z</t>
    </r>
    <r>
      <rPr>
        <vertAlign val="subscript"/>
        <sz val="8"/>
        <rFont val="Arial"/>
        <family val="2"/>
      </rPr>
      <t>min</t>
    </r>
    <r>
      <rPr>
        <sz val="8"/>
        <rFont val="Arial"/>
        <family val="2"/>
      </rPr>
      <t xml:space="preserve"> / z</t>
    </r>
    <r>
      <rPr>
        <vertAlign val="subscript"/>
        <sz val="8"/>
        <rFont val="Arial"/>
        <family val="2"/>
      </rPr>
      <t>A</t>
    </r>
  </si>
  <si>
    <r>
      <t>z</t>
    </r>
    <r>
      <rPr>
        <vertAlign val="subscript"/>
        <sz val="8"/>
        <rFont val="Arial"/>
        <family val="2"/>
      </rPr>
      <t>min</t>
    </r>
    <r>
      <rPr>
        <sz val="8"/>
        <rFont val="Arial"/>
        <family val="2"/>
      </rPr>
      <t xml:space="preserve"> / z</t>
    </r>
    <r>
      <rPr>
        <vertAlign val="subscript"/>
        <sz val="8"/>
        <rFont val="Arial"/>
        <family val="2"/>
      </rPr>
      <t>B</t>
    </r>
  </si>
  <si>
    <r>
      <t>Kreisstrom I</t>
    </r>
    <r>
      <rPr>
        <vertAlign val="subscript"/>
        <sz val="8"/>
        <rFont val="Arial"/>
        <family val="2"/>
      </rPr>
      <t>cirB</t>
    </r>
  </si>
  <si>
    <r>
      <t>sin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Ti</t>
    </r>
    <r>
      <rPr>
        <sz val="8"/>
        <rFont val="Arial"/>
        <family val="2"/>
      </rPr>
      <t xml:space="preserve"> - sin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 xml:space="preserve">Tisoll  </t>
    </r>
  </si>
  <si>
    <r>
      <t>sin</t>
    </r>
    <r>
      <rPr>
        <sz val="8"/>
        <rFont val="Symbol"/>
        <family val="1"/>
      </rPr>
      <t>j</t>
    </r>
  </si>
  <si>
    <r>
      <t>j</t>
    </r>
    <r>
      <rPr>
        <vertAlign val="subscript"/>
        <sz val="8"/>
        <rFont val="Arial"/>
        <family val="2"/>
      </rPr>
      <t>I</t>
    </r>
    <r>
      <rPr>
        <sz val="8"/>
        <rFont val="Symbol"/>
        <family val="1"/>
      </rPr>
      <t xml:space="preserve"> - j</t>
    </r>
    <r>
      <rPr>
        <vertAlign val="subscript"/>
        <sz val="8"/>
        <rFont val="Arial"/>
        <family val="2"/>
      </rPr>
      <t>U</t>
    </r>
    <r>
      <rPr>
        <sz val="8"/>
        <rFont val="Arial"/>
        <family val="2"/>
      </rPr>
      <t xml:space="preserve"> [°]</t>
    </r>
  </si>
  <si>
    <r>
      <t>Transformator-Belastung (U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>, 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>)</t>
    </r>
  </si>
  <si>
    <r>
      <t>Transformator-Belastung (U</t>
    </r>
    <r>
      <rPr>
        <vertAlign val="subscript"/>
        <sz val="8"/>
        <rFont val="Arial"/>
        <family val="2"/>
      </rPr>
      <t>B0</t>
    </r>
    <r>
      <rPr>
        <sz val="8"/>
        <rFont val="Arial"/>
        <family val="2"/>
      </rPr>
      <t>, I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>)</t>
    </r>
  </si>
  <si>
    <r>
      <t>Leitungsanteil (U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>, 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>)</t>
    </r>
  </si>
  <si>
    <r>
      <t>Leitungsanteil (U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>, I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>)</t>
    </r>
  </si>
  <si>
    <r>
      <t>Messwerte Transformator (U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>, I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>)</t>
    </r>
  </si>
  <si>
    <t>Transformator-Belastung</t>
  </si>
  <si>
    <t>Messwerte Transformator</t>
  </si>
  <si>
    <t>Leitungsanteil</t>
  </si>
  <si>
    <t>Stellbefehl</t>
  </si>
  <si>
    <t>Netz- oder Verbindungsleitung A</t>
  </si>
  <si>
    <t>Netz- oder Verbindungsleitung B</t>
  </si>
  <si>
    <r>
      <t>Messwerte Transformator (U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>, 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>)</t>
    </r>
  </si>
  <si>
    <r>
      <t>Prozentuale Änderung von Z</t>
    </r>
    <r>
      <rPr>
        <i/>
        <vertAlign val="subscript"/>
        <sz val="8"/>
        <rFont val="Arial"/>
        <family val="2"/>
      </rPr>
      <t>kA</t>
    </r>
  </si>
  <si>
    <r>
      <t>Prozentuale Änderung von Z</t>
    </r>
    <r>
      <rPr>
        <i/>
        <vertAlign val="subscript"/>
        <sz val="8"/>
        <rFont val="Arial"/>
        <family val="2"/>
      </rPr>
      <t>kB</t>
    </r>
  </si>
  <si>
    <t>Spannung an den Verbindungsleitungen vom Transformator zur Sammelschiene oder bis zur Verbraucherschaltung</t>
  </si>
  <si>
    <t xml:space="preserve">Spannung an der Last (Verbraucherschaltung + Zuleitung) </t>
  </si>
  <si>
    <t>Betriebsdaten der Transformatoren</t>
  </si>
  <si>
    <t>Überlagerung der Ströme und Leistungswerte der Transformatoren</t>
  </si>
  <si>
    <t>Ströme in Transformator A</t>
  </si>
  <si>
    <t>Leistungswerte von Transformator A</t>
  </si>
  <si>
    <t>Ströme in Transformator B</t>
  </si>
  <si>
    <t>Leistungswerte von Transformator B</t>
  </si>
  <si>
    <t>Laststrom</t>
  </si>
  <si>
    <t>Differenz der Winkel</t>
  </si>
  <si>
    <r>
      <t xml:space="preserve"> I</t>
    </r>
    <r>
      <rPr>
        <vertAlign val="subscript"/>
        <sz val="8"/>
        <rFont val="Arial"/>
        <family val="2"/>
      </rPr>
      <t>LastA</t>
    </r>
    <r>
      <rPr>
        <sz val="8"/>
        <rFont val="Arial"/>
        <family val="2"/>
      </rPr>
      <t xml:space="preserve"> + I</t>
    </r>
    <r>
      <rPr>
        <vertAlign val="subscript"/>
        <sz val="8"/>
        <rFont val="Arial"/>
        <family val="2"/>
      </rPr>
      <t>LastB</t>
    </r>
  </si>
  <si>
    <r>
      <t>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+ I</t>
    </r>
    <r>
      <rPr>
        <vertAlign val="subscript"/>
        <sz val="8"/>
        <rFont val="Arial"/>
        <family val="2"/>
      </rPr>
      <t>TB</t>
    </r>
  </si>
  <si>
    <t>Transformatordaten</t>
  </si>
  <si>
    <t>Einheitlicher Belastungsgrad</t>
  </si>
  <si>
    <t>Lastanteil</t>
  </si>
  <si>
    <r>
      <t>Lastanteil (U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>, I</t>
    </r>
    <r>
      <rPr>
        <vertAlign val="subscript"/>
        <sz val="8"/>
        <rFont val="Arial"/>
        <family val="2"/>
      </rPr>
      <t>LastA</t>
    </r>
    <r>
      <rPr>
        <sz val="8"/>
        <rFont val="Arial"/>
        <family val="2"/>
      </rPr>
      <t>)</t>
    </r>
  </si>
  <si>
    <r>
      <t>Lastanteil (U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>, I</t>
    </r>
    <r>
      <rPr>
        <vertAlign val="subscript"/>
        <sz val="8"/>
        <rFont val="Arial"/>
        <family val="2"/>
      </rPr>
      <t>LastB</t>
    </r>
    <r>
      <rPr>
        <sz val="8"/>
        <rFont val="Arial"/>
        <family val="2"/>
      </rPr>
      <t>)</t>
    </r>
  </si>
  <si>
    <t>Stufendifferenz zur Mittelstellung</t>
  </si>
  <si>
    <r>
      <t>Z</t>
    </r>
    <r>
      <rPr>
        <vertAlign val="subscript"/>
        <sz val="8"/>
        <rFont val="Arial"/>
        <family val="2"/>
      </rPr>
      <t>cir</t>
    </r>
    <r>
      <rPr>
        <sz val="8"/>
        <rFont val="Arial"/>
        <family val="2"/>
      </rPr>
      <t xml:space="preserve"> = Z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+ Z</t>
    </r>
    <r>
      <rPr>
        <vertAlign val="subscript"/>
        <sz val="8"/>
        <rFont val="Arial"/>
        <family val="2"/>
      </rPr>
      <t>B</t>
    </r>
  </si>
  <si>
    <r>
      <t>U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= U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Last</t>
    </r>
  </si>
  <si>
    <r>
      <t>U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= U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Last</t>
    </r>
  </si>
  <si>
    <t>Leitungsanteil / Lastanteil [%]</t>
  </si>
  <si>
    <r>
      <t>I</t>
    </r>
    <r>
      <rPr>
        <vertAlign val="subscript"/>
        <sz val="8"/>
        <rFont val="Arial"/>
        <family val="2"/>
      </rPr>
      <t>Last</t>
    </r>
  </si>
  <si>
    <t>Transformatorstrom</t>
  </si>
  <si>
    <t>Impedanzen von Transformator A und der Leitung</t>
  </si>
  <si>
    <t>Impedanzen von Transformator B und der Leitung</t>
  </si>
  <si>
    <t>Transformator</t>
  </si>
  <si>
    <r>
      <t>Winkel [°] U</t>
    </r>
    <r>
      <rPr>
        <vertAlign val="subscript"/>
        <sz val="8"/>
        <rFont val="Arial"/>
        <family val="2"/>
      </rPr>
      <t>i0</t>
    </r>
    <r>
      <rPr>
        <sz val="8"/>
        <rFont val="Arial"/>
        <family val="2"/>
      </rPr>
      <t xml:space="preserve"> / Re</t>
    </r>
  </si>
  <si>
    <t>Belastung [MVA]</t>
  </si>
  <si>
    <t>Leerlaufspannungen</t>
  </si>
  <si>
    <t>Differenz der Leerlaufspannungen</t>
  </si>
  <si>
    <t>Leiter-Sternpunkt-Spannungen</t>
  </si>
  <si>
    <r>
      <t>S'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[MVA]</t>
    </r>
  </si>
  <si>
    <r>
      <t>S'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 xml:space="preserve"> [MVA]</t>
    </r>
  </si>
  <si>
    <r>
      <t>S'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+ S'</t>
    </r>
    <r>
      <rPr>
        <vertAlign val="subscript"/>
        <sz val="8"/>
        <rFont val="Arial"/>
        <family val="2"/>
      </rPr>
      <t>rB</t>
    </r>
  </si>
  <si>
    <r>
      <t>(S'</t>
    </r>
    <r>
      <rPr>
        <vertAlign val="subscript"/>
        <sz val="8"/>
        <rFont val="Arial"/>
        <family val="2"/>
      </rPr>
      <t xml:space="preserve">rA </t>
    </r>
    <r>
      <rPr>
        <sz val="8"/>
        <rFont val="Arial"/>
        <family val="2"/>
      </rPr>
      <t>+ S'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>) / (S</t>
    </r>
    <r>
      <rPr>
        <vertAlign val="subscript"/>
        <sz val="8"/>
        <rFont val="Arial"/>
        <family val="2"/>
      </rPr>
      <t xml:space="preserve">rA </t>
    </r>
    <r>
      <rPr>
        <sz val="8"/>
        <rFont val="Arial"/>
        <family val="2"/>
      </rPr>
      <t>+ S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 xml:space="preserve">)  </t>
    </r>
  </si>
  <si>
    <r>
      <t>z</t>
    </r>
    <r>
      <rPr>
        <vertAlign val="subscript"/>
        <sz val="8"/>
        <rFont val="Arial"/>
        <family val="2"/>
      </rPr>
      <t xml:space="preserve">A = 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 xml:space="preserve">kA </t>
    </r>
    <r>
      <rPr>
        <sz val="8"/>
        <rFont val="Arial"/>
        <family val="2"/>
      </rPr>
      <t>[%]</t>
    </r>
  </si>
  <si>
    <r>
      <t>z</t>
    </r>
    <r>
      <rPr>
        <vertAlign val="subscript"/>
        <sz val="8"/>
        <rFont val="Arial"/>
        <family val="2"/>
      </rPr>
      <t xml:space="preserve">B = 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 xml:space="preserve">kB </t>
    </r>
    <r>
      <rPr>
        <sz val="8"/>
        <rFont val="Arial"/>
        <family val="2"/>
      </rPr>
      <t>[%]</t>
    </r>
  </si>
  <si>
    <r>
      <t>j</t>
    </r>
    <r>
      <rPr>
        <vertAlign val="subscript"/>
        <sz val="8"/>
        <rFont val="Arial"/>
        <family val="2"/>
      </rPr>
      <t>kA</t>
    </r>
    <r>
      <rPr>
        <sz val="8"/>
        <rFont val="Arial"/>
        <family val="2"/>
      </rPr>
      <t xml:space="preserve"> [°]</t>
    </r>
  </si>
  <si>
    <r>
      <t>cos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kA</t>
    </r>
  </si>
  <si>
    <r>
      <t>sin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kA</t>
    </r>
  </si>
  <si>
    <r>
      <t>j</t>
    </r>
    <r>
      <rPr>
        <vertAlign val="subscript"/>
        <sz val="8"/>
        <rFont val="Arial"/>
        <family val="2"/>
      </rPr>
      <t>kB</t>
    </r>
    <r>
      <rPr>
        <sz val="8"/>
        <rFont val="Arial"/>
        <family val="2"/>
      </rPr>
      <t xml:space="preserve"> [°]</t>
    </r>
  </si>
  <si>
    <r>
      <t>cos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kB</t>
    </r>
  </si>
  <si>
    <r>
      <t>sin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kB</t>
    </r>
  </si>
  <si>
    <t>aus Spannungen und Impedanzen</t>
  </si>
  <si>
    <t>aus Strömen und Impedanzen</t>
  </si>
  <si>
    <r>
      <t>I</t>
    </r>
    <r>
      <rPr>
        <vertAlign val="subscript"/>
        <sz val="8"/>
        <rFont val="Arial"/>
        <family val="2"/>
      </rPr>
      <t>qTA</t>
    </r>
    <r>
      <rPr>
        <sz val="8"/>
        <rFont val="Arial"/>
        <family val="2"/>
      </rPr>
      <t xml:space="preserve"> / I</t>
    </r>
    <r>
      <rPr>
        <vertAlign val="subscript"/>
        <sz val="8"/>
        <rFont val="Arial"/>
        <family val="2"/>
      </rPr>
      <t xml:space="preserve">qTB </t>
    </r>
  </si>
  <si>
    <r>
      <t>T</t>
    </r>
    <r>
      <rPr>
        <vertAlign val="subscript"/>
        <sz val="8"/>
        <rFont val="Arial"/>
        <family val="2"/>
      </rPr>
      <t>A</t>
    </r>
  </si>
  <si>
    <r>
      <t>T</t>
    </r>
    <r>
      <rPr>
        <vertAlign val="subscript"/>
        <sz val="8"/>
        <rFont val="Arial"/>
        <family val="2"/>
      </rPr>
      <t>B</t>
    </r>
  </si>
  <si>
    <r>
      <t>S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/ S</t>
    </r>
    <r>
      <rPr>
        <vertAlign val="subscript"/>
        <sz val="8"/>
        <rFont val="Arial"/>
        <family val="2"/>
      </rPr>
      <t>B</t>
    </r>
  </si>
  <si>
    <t>Transformatorströme</t>
  </si>
  <si>
    <r>
      <t>S'</t>
    </r>
    <r>
      <rPr>
        <vertAlign val="subscript"/>
        <sz val="8"/>
        <rFont val="Arial"/>
        <family val="2"/>
      </rPr>
      <t>ri</t>
    </r>
    <r>
      <rPr>
        <sz val="8"/>
        <rFont val="Arial"/>
        <family val="2"/>
      </rPr>
      <t xml:space="preserve"> bei Belastungsgrad &lt;= 1,0</t>
    </r>
  </si>
  <si>
    <r>
      <t>S'</t>
    </r>
    <r>
      <rPr>
        <vertAlign val="subscript"/>
        <sz val="8"/>
        <rFont val="Arial"/>
        <family val="2"/>
      </rPr>
      <t>ri</t>
    </r>
    <r>
      <rPr>
        <sz val="8"/>
        <rFont val="Arial"/>
        <family val="2"/>
      </rPr>
      <t xml:space="preserve"> bei einheitlichem Belastungsgrad</t>
    </r>
  </si>
  <si>
    <r>
      <t>Stufenspannung % von U</t>
    </r>
    <r>
      <rPr>
        <vertAlign val="subscript"/>
        <sz val="8"/>
        <rFont val="Arial"/>
        <family val="2"/>
      </rPr>
      <t>r</t>
    </r>
  </si>
  <si>
    <r>
      <t>Transformatorstrom 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 (Strang)</t>
    </r>
  </si>
  <si>
    <r>
      <t>Transformatorstrom I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 xml:space="preserve">  (Strang)</t>
    </r>
  </si>
  <si>
    <r>
      <t>I</t>
    </r>
    <r>
      <rPr>
        <vertAlign val="subscript"/>
        <sz val="8"/>
        <rFont val="Arial"/>
        <family val="2"/>
      </rPr>
      <t>cirA</t>
    </r>
    <r>
      <rPr>
        <sz val="8"/>
        <rFont val="Arial"/>
        <family val="2"/>
      </rPr>
      <t xml:space="preserve"> / I</t>
    </r>
    <r>
      <rPr>
        <vertAlign val="subscript"/>
        <sz val="8"/>
        <rFont val="Arial"/>
        <family val="2"/>
      </rPr>
      <t>LastA</t>
    </r>
  </si>
  <si>
    <r>
      <t>I</t>
    </r>
    <r>
      <rPr>
        <vertAlign val="subscript"/>
        <sz val="8"/>
        <rFont val="Arial"/>
        <family val="2"/>
      </rPr>
      <t>cirB</t>
    </r>
    <r>
      <rPr>
        <sz val="8"/>
        <rFont val="Arial"/>
        <family val="2"/>
      </rPr>
      <t xml:space="preserve"> / I</t>
    </r>
    <r>
      <rPr>
        <vertAlign val="subscript"/>
        <sz val="8"/>
        <rFont val="Arial"/>
        <family val="2"/>
      </rPr>
      <t>LastB</t>
    </r>
  </si>
  <si>
    <t>Stufenstellungen, Belastungsgrad</t>
  </si>
  <si>
    <r>
      <t>Laststrom I</t>
    </r>
    <r>
      <rPr>
        <vertAlign val="subscript"/>
        <sz val="8"/>
        <rFont val="Arial"/>
        <family val="2"/>
      </rPr>
      <t>LastA</t>
    </r>
    <r>
      <rPr>
        <sz val="8"/>
        <rFont val="Arial"/>
        <family val="2"/>
      </rPr>
      <t xml:space="preserve">  (Strang) </t>
    </r>
  </si>
  <si>
    <r>
      <t>Laststrom I</t>
    </r>
    <r>
      <rPr>
        <vertAlign val="subscript"/>
        <sz val="8"/>
        <rFont val="Arial"/>
        <family val="2"/>
      </rPr>
      <t>LastB</t>
    </r>
    <r>
      <rPr>
        <sz val="8"/>
        <rFont val="Arial"/>
        <family val="2"/>
      </rPr>
      <t xml:space="preserve">  (Strang) </t>
    </r>
  </si>
  <si>
    <r>
      <t>Summen von T</t>
    </r>
    <r>
      <rPr>
        <b/>
        <i/>
        <vertAlign val="subscript"/>
        <sz val="8"/>
        <rFont val="Arial"/>
        <family val="2"/>
      </rPr>
      <t>A</t>
    </r>
    <r>
      <rPr>
        <b/>
        <i/>
        <sz val="8"/>
        <rFont val="Arial"/>
        <family val="2"/>
      </rPr>
      <t xml:space="preserve"> und T</t>
    </r>
    <r>
      <rPr>
        <b/>
        <i/>
        <vertAlign val="subscript"/>
        <sz val="8"/>
        <rFont val="Arial"/>
        <family val="2"/>
      </rPr>
      <t>B</t>
    </r>
  </si>
  <si>
    <r>
      <t>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/ I</t>
    </r>
    <r>
      <rPr>
        <vertAlign val="subscript"/>
        <sz val="8"/>
        <rFont val="Arial"/>
        <family val="2"/>
      </rPr>
      <t>TB</t>
    </r>
  </si>
  <si>
    <r>
      <t>Differenzen zwischen T</t>
    </r>
    <r>
      <rPr>
        <b/>
        <i/>
        <vertAlign val="subscript"/>
        <sz val="8"/>
        <rFont val="Arial"/>
        <family val="2"/>
      </rPr>
      <t>A</t>
    </r>
    <r>
      <rPr>
        <b/>
        <i/>
        <sz val="8"/>
        <rFont val="Arial"/>
        <family val="2"/>
      </rPr>
      <t xml:space="preserve"> und T</t>
    </r>
    <r>
      <rPr>
        <b/>
        <i/>
        <vertAlign val="subscript"/>
        <sz val="8"/>
        <rFont val="Arial"/>
        <family val="2"/>
      </rPr>
      <t>B</t>
    </r>
  </si>
  <si>
    <t>z [%]</t>
  </si>
  <si>
    <r>
      <t>D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 xml:space="preserve">, </t>
    </r>
    <r>
      <rPr>
        <sz val="8"/>
        <rFont val="Symbol"/>
        <family val="1"/>
      </rPr>
      <t>D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 xml:space="preserve">B0 </t>
    </r>
    <r>
      <rPr>
        <sz val="8"/>
        <rFont val="Arial"/>
        <family val="2"/>
      </rPr>
      <t>zur Mittelstellung</t>
    </r>
  </si>
  <si>
    <t xml:space="preserve">U [V] </t>
  </si>
  <si>
    <t>Leiter-Leiter</t>
  </si>
  <si>
    <t>Umrechnungen</t>
  </si>
  <si>
    <t>Hinweis: Bezeichnungen siehe Seite 4</t>
  </si>
  <si>
    <r>
      <t>I*</t>
    </r>
    <r>
      <rPr>
        <vertAlign val="subscript"/>
        <sz val="8"/>
        <rFont val="Arial"/>
        <family val="2"/>
      </rPr>
      <t>cirA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qTA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qLast</t>
    </r>
    <r>
      <rPr>
        <sz val="8"/>
        <rFont val="Arial"/>
        <family val="2"/>
      </rPr>
      <t xml:space="preserve"> (S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/ S</t>
    </r>
    <r>
      <rPr>
        <vertAlign val="subscript"/>
        <sz val="8"/>
        <rFont val="Arial"/>
        <family val="2"/>
      </rPr>
      <t>r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>)</t>
    </r>
  </si>
  <si>
    <r>
      <t>I*</t>
    </r>
    <r>
      <rPr>
        <vertAlign val="subscript"/>
        <sz val="8"/>
        <rFont val="Arial"/>
        <family val="2"/>
      </rPr>
      <t>cirB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qTB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qLast</t>
    </r>
    <r>
      <rPr>
        <sz val="8"/>
        <rFont val="Arial"/>
        <family val="2"/>
      </rPr>
      <t xml:space="preserve"> (S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 xml:space="preserve"> / S</t>
    </r>
    <r>
      <rPr>
        <vertAlign val="subscript"/>
        <sz val="8"/>
        <rFont val="Arial"/>
        <family val="2"/>
      </rPr>
      <t>r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>)</t>
    </r>
  </si>
  <si>
    <r>
      <t>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kA</t>
    </r>
  </si>
  <si>
    <r>
      <t>I*</t>
    </r>
    <r>
      <rPr>
        <vertAlign val="subscript"/>
        <sz val="8"/>
        <rFont val="Arial"/>
        <family val="2"/>
      </rPr>
      <t>cirA</t>
    </r>
    <r>
      <rPr>
        <sz val="8"/>
        <rFont val="Arial"/>
        <family val="2"/>
      </rPr>
      <t xml:space="preserve"> = 0,5 (I</t>
    </r>
    <r>
      <rPr>
        <vertAlign val="subscript"/>
        <sz val="8"/>
        <rFont val="Arial"/>
        <family val="2"/>
      </rPr>
      <t>qTA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qTB</t>
    </r>
    <r>
      <rPr>
        <sz val="8"/>
        <rFont val="Arial"/>
        <family val="2"/>
      </rPr>
      <t xml:space="preserve">) </t>
    </r>
  </si>
  <si>
    <r>
      <t>I*</t>
    </r>
    <r>
      <rPr>
        <vertAlign val="subscript"/>
        <sz val="8"/>
        <rFont val="Arial"/>
        <family val="2"/>
      </rPr>
      <t>cirB</t>
    </r>
    <r>
      <rPr>
        <sz val="8"/>
        <rFont val="Arial"/>
        <family val="2"/>
      </rPr>
      <t xml:space="preserve"> = 0,5 (I</t>
    </r>
    <r>
      <rPr>
        <vertAlign val="subscript"/>
        <sz val="8"/>
        <rFont val="Arial"/>
        <family val="2"/>
      </rPr>
      <t>qTB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qTA</t>
    </r>
    <r>
      <rPr>
        <sz val="8"/>
        <rFont val="Arial"/>
        <family val="2"/>
      </rPr>
      <t xml:space="preserve">) </t>
    </r>
  </si>
  <si>
    <r>
      <t>I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kB</t>
    </r>
  </si>
  <si>
    <r>
      <t>Z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B</t>
    </r>
  </si>
  <si>
    <r>
      <t>U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= Z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I</t>
    </r>
    <r>
      <rPr>
        <vertAlign val="subscript"/>
        <sz val="8"/>
        <rFont val="Arial"/>
        <family val="2"/>
      </rPr>
      <t>TA</t>
    </r>
  </si>
  <si>
    <r>
      <t>U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= Z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I</t>
    </r>
    <r>
      <rPr>
        <vertAlign val="subscript"/>
        <sz val="8"/>
        <rFont val="Arial"/>
        <family val="2"/>
      </rPr>
      <t>TA</t>
    </r>
  </si>
  <si>
    <r>
      <t>I</t>
    </r>
    <r>
      <rPr>
        <vertAlign val="subscript"/>
        <sz val="8"/>
        <rFont val="Arial"/>
        <family val="2"/>
      </rPr>
      <t>LastA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A</t>
    </r>
  </si>
  <si>
    <r>
      <t>I</t>
    </r>
    <r>
      <rPr>
        <vertAlign val="subscript"/>
        <sz val="8"/>
        <rFont val="Arial"/>
        <family val="2"/>
      </rPr>
      <t>LastB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B</t>
    </r>
  </si>
  <si>
    <r>
      <t>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(Z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/ Z</t>
    </r>
    <r>
      <rPr>
        <vertAlign val="subscript"/>
        <sz val="8"/>
        <rFont val="Arial"/>
        <family val="2"/>
      </rPr>
      <t>cir</t>
    </r>
    <r>
      <rPr>
        <sz val="8"/>
        <rFont val="Arial"/>
        <family val="2"/>
      </rPr>
      <t>)</t>
    </r>
  </si>
  <si>
    <r>
      <t>I</t>
    </r>
    <r>
      <rPr>
        <vertAlign val="subscript"/>
        <sz val="8"/>
        <rFont val="Arial"/>
        <family val="2"/>
      </rPr>
      <t>cirA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(Z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/ Z</t>
    </r>
    <r>
      <rPr>
        <vertAlign val="subscript"/>
        <sz val="8"/>
        <rFont val="Arial"/>
        <family val="2"/>
      </rPr>
      <t>cir</t>
    </r>
    <r>
      <rPr>
        <sz val="8"/>
        <rFont val="Arial"/>
        <family val="2"/>
      </rPr>
      <t>)</t>
    </r>
  </si>
  <si>
    <r>
      <t>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(Z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/ Z</t>
    </r>
    <r>
      <rPr>
        <vertAlign val="subscript"/>
        <sz val="8"/>
        <rFont val="Arial"/>
        <family val="2"/>
      </rPr>
      <t>cir</t>
    </r>
    <r>
      <rPr>
        <sz val="8"/>
        <rFont val="Arial"/>
        <family val="2"/>
      </rPr>
      <t>)</t>
    </r>
  </si>
  <si>
    <r>
      <t>I</t>
    </r>
    <r>
      <rPr>
        <vertAlign val="subscript"/>
        <sz val="8"/>
        <rFont val="Arial"/>
        <family val="2"/>
      </rPr>
      <t>cirB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(Z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/ Z</t>
    </r>
    <r>
      <rPr>
        <vertAlign val="subscript"/>
        <sz val="8"/>
        <rFont val="Arial"/>
        <family val="2"/>
      </rPr>
      <t>cir</t>
    </r>
    <r>
      <rPr>
        <sz val="8"/>
        <rFont val="Arial"/>
        <family val="2"/>
      </rPr>
      <t>)</t>
    </r>
  </si>
  <si>
    <r>
      <t>I*</t>
    </r>
    <r>
      <rPr>
        <vertAlign val="subscript"/>
        <sz val="8"/>
        <rFont val="Arial"/>
        <family val="2"/>
      </rPr>
      <t>cir(S)</t>
    </r>
    <r>
      <rPr>
        <sz val="8"/>
        <rFont val="Arial"/>
        <family val="2"/>
      </rPr>
      <t xml:space="preserve"> / I</t>
    </r>
    <r>
      <rPr>
        <vertAlign val="subscript"/>
        <sz val="8"/>
        <rFont val="Arial"/>
        <family val="2"/>
      </rPr>
      <t>cir</t>
    </r>
  </si>
  <si>
    <r>
      <t>I*</t>
    </r>
    <r>
      <rPr>
        <vertAlign val="subscript"/>
        <sz val="8"/>
        <rFont val="Arial"/>
        <family val="2"/>
      </rPr>
      <t>cir</t>
    </r>
    <r>
      <rPr>
        <sz val="8"/>
        <rFont val="Arial"/>
        <family val="2"/>
      </rPr>
      <t xml:space="preserve"> / I</t>
    </r>
    <r>
      <rPr>
        <vertAlign val="subscript"/>
        <sz val="8"/>
        <rFont val="Arial"/>
        <family val="2"/>
      </rPr>
      <t>cir</t>
    </r>
  </si>
  <si>
    <r>
      <t>(Z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>) / Z</t>
    </r>
    <r>
      <rPr>
        <vertAlign val="subscript"/>
        <sz val="8"/>
        <rFont val="Arial"/>
        <family val="2"/>
      </rPr>
      <t>cir</t>
    </r>
  </si>
  <si>
    <r>
      <t>Z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cir</t>
    </r>
  </si>
  <si>
    <r>
      <t>(Z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>) + (Z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cir</t>
    </r>
    <r>
      <rPr>
        <sz val="8"/>
        <rFont val="Arial"/>
        <family val="2"/>
      </rPr>
      <t>)</t>
    </r>
  </si>
  <si>
    <t>Sternschaltung</t>
  </si>
  <si>
    <r>
      <t>Z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</si>
  <si>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t>Belastungsgrad und Art</t>
  </si>
  <si>
    <t>Transformator-Belastung [MVA]</t>
  </si>
  <si>
    <r>
      <t>U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[V]</t>
    </r>
  </si>
  <si>
    <r>
      <t>U</t>
    </r>
    <r>
      <rPr>
        <vertAlign val="subscript"/>
        <sz val="8"/>
        <rFont val="Arial"/>
        <family val="2"/>
      </rPr>
      <t>Verbraucher</t>
    </r>
    <r>
      <rPr>
        <sz val="8"/>
        <rFont val="Arial"/>
        <family val="2"/>
      </rPr>
      <t xml:space="preserve"> [V] </t>
    </r>
  </si>
  <si>
    <r>
      <t>U</t>
    </r>
    <r>
      <rPr>
        <vertAlign val="subscript"/>
        <sz val="8"/>
        <rFont val="Arial"/>
        <family val="2"/>
      </rPr>
      <t>Zuleitung</t>
    </r>
    <r>
      <rPr>
        <sz val="8"/>
        <rFont val="Arial"/>
        <family val="2"/>
      </rPr>
      <t xml:space="preserve"> [V] </t>
    </r>
  </si>
  <si>
    <r>
      <t>U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</t>
    </r>
  </si>
  <si>
    <r>
      <t>U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 xml:space="preserve"> </t>
    </r>
  </si>
  <si>
    <r>
      <t>D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>0A</t>
    </r>
    <r>
      <rPr>
        <sz val="8"/>
        <rFont val="Arial"/>
        <family val="2"/>
      </rPr>
      <t xml:space="preserve"> / Ur [%]</t>
    </r>
  </si>
  <si>
    <r>
      <t>D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>0A</t>
    </r>
    <r>
      <rPr>
        <sz val="8"/>
        <rFont val="Arial"/>
        <family val="2"/>
      </rPr>
      <t xml:space="preserve"> = </t>
    </r>
    <r>
      <rPr>
        <sz val="8"/>
        <rFont val="Symbol"/>
        <family val="1"/>
      </rPr>
      <t>D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cir</t>
    </r>
    <r>
      <rPr>
        <sz val="8"/>
        <rFont val="Arial"/>
        <family val="2"/>
      </rPr>
      <t xml:space="preserve"> </t>
    </r>
  </si>
  <si>
    <r>
      <t xml:space="preserve"> </t>
    </r>
    <r>
      <rPr>
        <i/>
        <sz val="8"/>
        <rFont val="Symbol"/>
        <family val="1"/>
      </rPr>
      <t>D</t>
    </r>
    <r>
      <rPr>
        <i/>
        <sz val="8"/>
        <rFont val="Arial"/>
        <family val="2"/>
      </rPr>
      <t>Isin</t>
    </r>
    <r>
      <rPr>
        <i/>
        <sz val="8"/>
        <rFont val="Symbol"/>
        <family val="1"/>
      </rPr>
      <t>j</t>
    </r>
    <r>
      <rPr>
        <i/>
        <sz val="8"/>
        <rFont val="Arial"/>
        <family val="2"/>
      </rPr>
      <t>(S) - Verfahren</t>
    </r>
  </si>
  <si>
    <r>
      <t>D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 xml:space="preserve">B0 </t>
    </r>
  </si>
  <si>
    <t>Erforderlicher Korrekturstrom</t>
  </si>
  <si>
    <r>
      <t>U</t>
    </r>
    <r>
      <rPr>
        <vertAlign val="subscript"/>
        <sz val="8"/>
        <rFont val="Arial"/>
        <family val="2"/>
      </rPr>
      <t>0A</t>
    </r>
    <r>
      <rPr>
        <sz val="8"/>
        <rFont val="Arial"/>
        <family val="2"/>
      </rPr>
      <t>* = U</t>
    </r>
    <r>
      <rPr>
        <vertAlign val="subscript"/>
        <sz val="8"/>
        <rFont val="Arial"/>
        <family val="2"/>
      </rPr>
      <t>0A</t>
    </r>
    <r>
      <rPr>
        <sz val="8"/>
        <rFont val="Arial"/>
        <family val="2"/>
      </rPr>
      <t xml:space="preserve"> + </t>
    </r>
    <r>
      <rPr>
        <sz val="8"/>
        <rFont val="Symbol"/>
        <family val="1"/>
      </rPr>
      <t>D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 xml:space="preserve">0A </t>
    </r>
  </si>
  <si>
    <r>
      <t>Bedingung S</t>
    </r>
    <r>
      <rPr>
        <b/>
        <vertAlign val="subscript"/>
        <sz val="8"/>
        <rFont val="Arial"/>
        <family val="2"/>
      </rPr>
      <t>rA</t>
    </r>
    <r>
      <rPr>
        <b/>
        <sz val="8"/>
        <rFont val="Arial"/>
        <family val="2"/>
      </rPr>
      <t xml:space="preserve"> / S</t>
    </r>
    <r>
      <rPr>
        <b/>
        <vertAlign val="subscript"/>
        <sz val="8"/>
        <rFont val="Arial"/>
        <family val="2"/>
      </rPr>
      <t>rB</t>
    </r>
    <r>
      <rPr>
        <b/>
        <sz val="8"/>
        <rFont val="Arial"/>
        <family val="2"/>
      </rPr>
      <t xml:space="preserve"> = </t>
    </r>
    <r>
      <rPr>
        <b/>
        <sz val="8"/>
        <rFont val="Arial"/>
        <family val="2"/>
      </rPr>
      <t>I</t>
    </r>
    <r>
      <rPr>
        <b/>
        <vertAlign val="subscript"/>
        <sz val="8"/>
        <rFont val="Arial"/>
        <family val="2"/>
      </rPr>
      <t xml:space="preserve">qA </t>
    </r>
    <r>
      <rPr>
        <b/>
        <sz val="8"/>
        <rFont val="Arial"/>
        <family val="2"/>
      </rPr>
      <t>/ I</t>
    </r>
    <r>
      <rPr>
        <b/>
        <vertAlign val="subscript"/>
        <sz val="8"/>
        <rFont val="Arial"/>
        <family val="2"/>
      </rPr>
      <t>qB</t>
    </r>
  </si>
  <si>
    <r>
      <t>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- </t>
    </r>
    <r>
      <rPr>
        <sz val="8"/>
        <rFont val="Symbol"/>
        <family val="1"/>
      </rPr>
      <t>D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</t>
    </r>
  </si>
  <si>
    <r>
      <t>I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 xml:space="preserve"> - </t>
    </r>
    <r>
      <rPr>
        <sz val="8"/>
        <rFont val="Symbol"/>
        <family val="1"/>
      </rPr>
      <t>D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</t>
    </r>
  </si>
  <si>
    <r>
      <t>Z</t>
    </r>
    <r>
      <rPr>
        <vertAlign val="subscript"/>
        <sz val="8"/>
        <rFont val="Arial"/>
        <family val="2"/>
      </rPr>
      <t xml:space="preserve">ref </t>
    </r>
    <r>
      <rPr>
        <sz val="8"/>
        <rFont val="Arial"/>
        <family val="2"/>
      </rPr>
      <t>= U</t>
    </r>
    <r>
      <rPr>
        <vertAlign val="subscript"/>
        <sz val="8"/>
        <rFont val="Arial"/>
        <family val="2"/>
      </rPr>
      <t>r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/ S</t>
    </r>
    <r>
      <rPr>
        <vertAlign val="subscript"/>
        <sz val="8"/>
        <rFont val="Arial"/>
        <family val="2"/>
      </rPr>
      <t xml:space="preserve">r </t>
    </r>
    <r>
      <rPr>
        <sz val="8"/>
        <rFont val="Arial"/>
        <family val="2"/>
      </rPr>
      <t>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</si>
  <si>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t>Iq / Ip</t>
  </si>
  <si>
    <r>
      <t>S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/ S</t>
    </r>
    <r>
      <rPr>
        <vertAlign val="subscript"/>
        <sz val="8"/>
        <rFont val="Arial"/>
        <family val="2"/>
      </rPr>
      <t xml:space="preserve">LastA </t>
    </r>
    <r>
      <rPr>
        <sz val="8"/>
        <rFont val="Arial"/>
        <family val="2"/>
      </rPr>
      <t>[%]</t>
    </r>
  </si>
  <si>
    <r>
      <t>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B0</t>
    </r>
    <r>
      <rPr>
        <sz val="8"/>
        <rFont val="Arial"/>
        <family val="2"/>
      </rPr>
      <t xml:space="preserve"> [kV]</t>
    </r>
  </si>
  <si>
    <r>
      <t>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B</t>
    </r>
  </si>
  <si>
    <r>
      <t>U</t>
    </r>
    <r>
      <rPr>
        <vertAlign val="subscript"/>
        <sz val="8"/>
        <rFont val="Arial"/>
        <family val="2"/>
      </rPr>
      <t>B0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</t>
    </r>
  </si>
  <si>
    <r>
      <t>(U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>) + (U</t>
    </r>
    <r>
      <rPr>
        <vertAlign val="subscript"/>
        <sz val="8"/>
        <rFont val="Arial"/>
        <family val="2"/>
      </rPr>
      <t>B0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)</t>
    </r>
  </si>
  <si>
    <r>
      <t>I</t>
    </r>
    <r>
      <rPr>
        <vertAlign val="subscript"/>
        <sz val="8"/>
        <rFont val="Arial"/>
        <family val="2"/>
      </rPr>
      <t>cirA</t>
    </r>
    <r>
      <rPr>
        <sz val="8"/>
        <rFont val="Arial"/>
        <family val="2"/>
      </rPr>
      <t xml:space="preserve"> = (U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B0</t>
    </r>
    <r>
      <rPr>
        <sz val="8"/>
        <rFont val="Arial"/>
        <family val="2"/>
      </rPr>
      <t>) / Z</t>
    </r>
    <r>
      <rPr>
        <vertAlign val="subscript"/>
        <sz val="8"/>
        <rFont val="Arial"/>
        <family val="2"/>
      </rPr>
      <t>cir</t>
    </r>
  </si>
  <si>
    <r>
      <t>I</t>
    </r>
    <r>
      <rPr>
        <vertAlign val="subscript"/>
        <sz val="8"/>
        <rFont val="Arial"/>
        <family val="2"/>
      </rPr>
      <t>cirB</t>
    </r>
    <r>
      <rPr>
        <sz val="8"/>
        <rFont val="Arial"/>
        <family val="2"/>
      </rPr>
      <t xml:space="preserve"> = (U</t>
    </r>
    <r>
      <rPr>
        <vertAlign val="subscript"/>
        <sz val="8"/>
        <rFont val="Arial"/>
        <family val="2"/>
      </rPr>
      <t>B0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>) / Z</t>
    </r>
    <r>
      <rPr>
        <vertAlign val="subscript"/>
        <sz val="8"/>
        <rFont val="Arial"/>
        <family val="2"/>
      </rPr>
      <t>cir</t>
    </r>
  </si>
  <si>
    <r>
      <t>U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= 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kA</t>
    </r>
    <r>
      <rPr>
        <sz val="8"/>
        <rFont val="Arial"/>
        <family val="2"/>
      </rPr>
      <t xml:space="preserve"> </t>
    </r>
  </si>
  <si>
    <r>
      <t>U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 xml:space="preserve"> = U</t>
    </r>
    <r>
      <rPr>
        <vertAlign val="subscript"/>
        <sz val="8"/>
        <rFont val="Arial"/>
        <family val="2"/>
      </rPr>
      <t>B0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kB</t>
    </r>
    <r>
      <rPr>
        <sz val="8"/>
        <rFont val="Arial"/>
        <family val="2"/>
      </rPr>
      <t xml:space="preserve"> </t>
    </r>
  </si>
  <si>
    <r>
      <t>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 xml:space="preserve"> / Z</t>
    </r>
    <r>
      <rPr>
        <vertAlign val="subscript"/>
        <sz val="8"/>
        <rFont val="Arial"/>
        <family val="2"/>
      </rPr>
      <t>A</t>
    </r>
  </si>
  <si>
    <r>
      <t>U</t>
    </r>
    <r>
      <rPr>
        <vertAlign val="subscript"/>
        <sz val="8"/>
        <rFont val="Arial"/>
        <family val="2"/>
      </rPr>
      <t>B0</t>
    </r>
    <r>
      <rPr>
        <sz val="8"/>
        <rFont val="Arial"/>
        <family val="2"/>
      </rPr>
      <t xml:space="preserve"> / Z</t>
    </r>
    <r>
      <rPr>
        <vertAlign val="subscript"/>
        <sz val="8"/>
        <rFont val="Arial"/>
        <family val="2"/>
      </rPr>
      <t>B</t>
    </r>
  </si>
  <si>
    <r>
      <t>(U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 xml:space="preserve"> / Z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>) + (U</t>
    </r>
    <r>
      <rPr>
        <vertAlign val="subscript"/>
        <sz val="8"/>
        <rFont val="Arial"/>
        <family val="2"/>
      </rPr>
      <t>B0</t>
    </r>
    <r>
      <rPr>
        <sz val="8"/>
        <rFont val="Arial"/>
        <family val="2"/>
      </rPr>
      <t xml:space="preserve"> / Z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>)</t>
    </r>
  </si>
  <si>
    <r>
      <t>(U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 xml:space="preserve"> / Z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>) + (U</t>
    </r>
    <r>
      <rPr>
        <vertAlign val="subscript"/>
        <sz val="8"/>
        <rFont val="Arial"/>
        <family val="2"/>
      </rPr>
      <t>B0</t>
    </r>
    <r>
      <rPr>
        <sz val="8"/>
        <rFont val="Arial"/>
        <family val="2"/>
      </rPr>
      <t xml:space="preserve"> / Z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>) - I</t>
    </r>
    <r>
      <rPr>
        <vertAlign val="subscript"/>
        <sz val="8"/>
        <rFont val="Arial"/>
        <family val="2"/>
      </rPr>
      <t>Last</t>
    </r>
  </si>
  <si>
    <r>
      <t>S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/ S</t>
    </r>
    <r>
      <rPr>
        <vertAlign val="subscript"/>
        <sz val="8"/>
        <rFont val="Arial"/>
        <family val="2"/>
      </rPr>
      <t>LastB</t>
    </r>
    <r>
      <rPr>
        <sz val="8"/>
        <rFont val="Arial"/>
        <family val="2"/>
      </rPr>
      <t xml:space="preserve"> [%]</t>
    </r>
  </si>
  <si>
    <t>Differenz</t>
  </si>
  <si>
    <r>
      <t>R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</si>
  <si>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X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</si>
  <si>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 xml:space="preserve"> Z</t>
    </r>
    <r>
      <rPr>
        <vertAlign val="subscript"/>
        <sz val="8"/>
        <rFont val="Arial"/>
        <family val="2"/>
      </rPr>
      <t>Verbraucher</t>
    </r>
    <r>
      <rPr>
        <sz val="8"/>
        <rFont val="Arial"/>
        <family val="2"/>
      </rPr>
      <t xml:space="preserve"> </t>
    </r>
  </si>
  <si>
    <r>
      <t>I</t>
    </r>
    <r>
      <rPr>
        <vertAlign val="subscript"/>
        <sz val="8"/>
        <rFont val="Arial"/>
        <family val="2"/>
      </rPr>
      <t>cir</t>
    </r>
  </si>
  <si>
    <r>
      <t>I</t>
    </r>
    <r>
      <rPr>
        <vertAlign val="subscript"/>
        <sz val="8"/>
        <rFont val="Arial"/>
        <family val="2"/>
      </rPr>
      <t>cir*(S)</t>
    </r>
  </si>
  <si>
    <r>
      <t>I</t>
    </r>
    <r>
      <rPr>
        <vertAlign val="subscript"/>
        <sz val="8"/>
        <rFont val="Arial"/>
        <family val="2"/>
      </rPr>
      <t>cir*</t>
    </r>
  </si>
  <si>
    <r>
      <t>Re</t>
    </r>
    <r>
      <rPr>
        <sz val="8"/>
        <rFont val="Arial"/>
        <family val="2"/>
      </rPr>
      <t xml:space="preserve"> [kV]</t>
    </r>
  </si>
  <si>
    <t>Im [kV]</t>
  </si>
  <si>
    <t>U [kV]</t>
  </si>
  <si>
    <r>
      <t>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 xml:space="preserve"> </t>
    </r>
  </si>
  <si>
    <r>
      <t>U</t>
    </r>
    <r>
      <rPr>
        <vertAlign val="subscript"/>
        <sz val="8"/>
        <rFont val="Arial"/>
        <family val="2"/>
      </rPr>
      <t>B0</t>
    </r>
    <r>
      <rPr>
        <sz val="8"/>
        <rFont val="Arial"/>
        <family val="2"/>
      </rPr>
      <t xml:space="preserve"> </t>
    </r>
  </si>
  <si>
    <r>
      <t>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B0</t>
    </r>
    <r>
      <rPr>
        <sz val="8"/>
        <rFont val="Arial"/>
        <family val="2"/>
      </rPr>
      <t xml:space="preserve"> </t>
    </r>
  </si>
  <si>
    <r>
      <t>U</t>
    </r>
    <r>
      <rPr>
        <vertAlign val="subscript"/>
        <sz val="8"/>
        <rFont val="Arial"/>
        <family val="2"/>
      </rPr>
      <t>B0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 xml:space="preserve"> </t>
    </r>
  </si>
  <si>
    <t>U [V]</t>
  </si>
  <si>
    <r>
      <t>U</t>
    </r>
    <r>
      <rPr>
        <vertAlign val="subscript"/>
        <sz val="8"/>
        <rFont val="Arial"/>
        <family val="2"/>
      </rPr>
      <t>Last0</t>
    </r>
    <r>
      <rPr>
        <sz val="8"/>
        <rFont val="Arial"/>
        <family val="2"/>
      </rPr>
      <t xml:space="preserve"> </t>
    </r>
  </si>
  <si>
    <r>
      <t>U</t>
    </r>
    <r>
      <rPr>
        <vertAlign val="subscript"/>
        <sz val="8"/>
        <rFont val="Arial"/>
        <family val="2"/>
      </rPr>
      <t>Lastn</t>
    </r>
    <r>
      <rPr>
        <sz val="8"/>
        <rFont val="Arial"/>
        <family val="2"/>
      </rPr>
      <t xml:space="preserve"> </t>
    </r>
  </si>
  <si>
    <r>
      <t>U</t>
    </r>
    <r>
      <rPr>
        <vertAlign val="subscript"/>
        <sz val="8"/>
        <rFont val="Arial"/>
        <family val="2"/>
      </rPr>
      <t>Lastn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Last0</t>
    </r>
    <r>
      <rPr>
        <sz val="8"/>
        <rFont val="Arial"/>
        <family val="2"/>
      </rPr>
      <t xml:space="preserve"> </t>
    </r>
  </si>
  <si>
    <r>
      <t>T</t>
    </r>
    <r>
      <rPr>
        <vertAlign val="subscript"/>
        <sz val="8"/>
        <rFont val="Arial"/>
        <family val="2"/>
      </rPr>
      <t xml:space="preserve">A  </t>
    </r>
    <r>
      <rPr>
        <sz val="8"/>
        <rFont val="Arial"/>
        <family val="2"/>
      </rPr>
      <t>[A]</t>
    </r>
  </si>
  <si>
    <r>
      <t>T</t>
    </r>
    <r>
      <rPr>
        <vertAlign val="subscript"/>
        <sz val="8"/>
        <rFont val="Arial"/>
        <family val="2"/>
      </rPr>
      <t xml:space="preserve">B  </t>
    </r>
    <r>
      <rPr>
        <sz val="8"/>
        <rFont val="Arial"/>
        <family val="2"/>
      </rPr>
      <t>[A]</t>
    </r>
  </si>
  <si>
    <r>
      <t>U</t>
    </r>
    <r>
      <rPr>
        <vertAlign val="subscript"/>
        <sz val="8"/>
        <rFont val="Arial"/>
        <family val="2"/>
      </rPr>
      <t xml:space="preserve">AB0 </t>
    </r>
    <r>
      <rPr>
        <sz val="8"/>
        <rFont val="Arial"/>
        <family val="2"/>
      </rPr>
      <t>[V]</t>
    </r>
  </si>
  <si>
    <t>Re [A]</t>
  </si>
  <si>
    <t>Im [A]</t>
  </si>
  <si>
    <t>Re [V]</t>
  </si>
  <si>
    <t>Im [V]</t>
  </si>
  <si>
    <r>
      <t>Z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/ (Z</t>
    </r>
    <r>
      <rPr>
        <vertAlign val="subscript"/>
        <sz val="8"/>
        <rFont val="Arial"/>
        <family val="2"/>
      </rPr>
      <t xml:space="preserve">A </t>
    </r>
    <r>
      <rPr>
        <sz val="8"/>
        <rFont val="Arial"/>
        <family val="2"/>
      </rPr>
      <t>+ Z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>)</t>
    </r>
  </si>
  <si>
    <r>
      <t>Z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/ (Z</t>
    </r>
    <r>
      <rPr>
        <vertAlign val="subscript"/>
        <sz val="8"/>
        <rFont val="Arial"/>
        <family val="2"/>
      </rPr>
      <t xml:space="preserve">A </t>
    </r>
    <r>
      <rPr>
        <sz val="8"/>
        <rFont val="Arial"/>
        <family val="2"/>
      </rPr>
      <t>+ Z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>)</t>
    </r>
  </si>
  <si>
    <r>
      <t>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/ (Z</t>
    </r>
    <r>
      <rPr>
        <vertAlign val="subscript"/>
        <sz val="8"/>
        <rFont val="Arial"/>
        <family val="2"/>
      </rPr>
      <t xml:space="preserve">A </t>
    </r>
    <r>
      <rPr>
        <sz val="8"/>
        <rFont val="Arial"/>
        <family val="2"/>
      </rPr>
      <t>+ Z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>)</t>
    </r>
  </si>
  <si>
    <r>
      <t>U</t>
    </r>
    <r>
      <rPr>
        <vertAlign val="subscript"/>
        <sz val="8"/>
        <rFont val="Arial"/>
        <family val="2"/>
      </rPr>
      <t>B0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/ (Z</t>
    </r>
    <r>
      <rPr>
        <vertAlign val="subscript"/>
        <sz val="8"/>
        <rFont val="Arial"/>
        <family val="2"/>
      </rPr>
      <t xml:space="preserve">A </t>
    </r>
    <r>
      <rPr>
        <sz val="8"/>
        <rFont val="Arial"/>
        <family val="2"/>
      </rPr>
      <t>+ Z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>)</t>
    </r>
  </si>
  <si>
    <r>
      <t>I</t>
    </r>
    <r>
      <rPr>
        <vertAlign val="subscript"/>
        <sz val="8"/>
        <rFont val="Arial"/>
        <family val="2"/>
      </rPr>
      <t>LastA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/ (Z</t>
    </r>
    <r>
      <rPr>
        <vertAlign val="subscript"/>
        <sz val="8"/>
        <rFont val="Arial"/>
        <family val="2"/>
      </rPr>
      <t xml:space="preserve">A </t>
    </r>
    <r>
      <rPr>
        <sz val="8"/>
        <rFont val="Arial"/>
        <family val="2"/>
      </rPr>
      <t>+ Z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>)</t>
    </r>
  </si>
  <si>
    <r>
      <t>I</t>
    </r>
    <r>
      <rPr>
        <vertAlign val="subscript"/>
        <sz val="8"/>
        <rFont val="Arial"/>
        <family val="2"/>
      </rPr>
      <t>LastB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/ (Z</t>
    </r>
    <r>
      <rPr>
        <vertAlign val="subscript"/>
        <sz val="8"/>
        <rFont val="Arial"/>
        <family val="2"/>
      </rPr>
      <t xml:space="preserve">A </t>
    </r>
    <r>
      <rPr>
        <sz val="8"/>
        <rFont val="Arial"/>
        <family val="2"/>
      </rPr>
      <t>+ Z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>)</t>
    </r>
  </si>
  <si>
    <t>Summe</t>
  </si>
  <si>
    <r>
      <t>Z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W]</t>
    </r>
  </si>
  <si>
    <r>
      <t>R [</t>
    </r>
    <r>
      <rPr>
        <sz val="8"/>
        <rFont val="Symbol"/>
        <family val="1"/>
      </rPr>
      <t>W]</t>
    </r>
  </si>
  <si>
    <r>
      <t>X [</t>
    </r>
    <r>
      <rPr>
        <sz val="8"/>
        <rFont val="Symbol"/>
        <family val="1"/>
      </rPr>
      <t>W]</t>
    </r>
  </si>
  <si>
    <t>erforderlicher Korrekturstrom</t>
  </si>
  <si>
    <r>
      <t>U</t>
    </r>
    <r>
      <rPr>
        <vertAlign val="subscript"/>
        <sz val="8"/>
        <rFont val="Arial"/>
        <family val="2"/>
      </rPr>
      <t>st</t>
    </r>
    <r>
      <rPr>
        <sz val="8"/>
        <rFont val="Arial"/>
        <family val="2"/>
      </rPr>
      <t xml:space="preserve"> / Z</t>
    </r>
    <r>
      <rPr>
        <vertAlign val="subscript"/>
        <sz val="8"/>
        <rFont val="Arial"/>
        <family val="2"/>
      </rPr>
      <t>cir</t>
    </r>
  </si>
  <si>
    <r>
      <t>I</t>
    </r>
    <r>
      <rPr>
        <vertAlign val="subscript"/>
        <sz val="8"/>
        <rFont val="Arial"/>
        <family val="2"/>
      </rPr>
      <t>Last A*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[R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/ (R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+ R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>)]</t>
    </r>
  </si>
  <si>
    <t xml:space="preserve">erforderliche Korrekturspannung </t>
  </si>
  <si>
    <r>
      <t>Bedingung S</t>
    </r>
    <r>
      <rPr>
        <b/>
        <vertAlign val="subscript"/>
        <sz val="8"/>
        <rFont val="Arial"/>
        <family val="2"/>
      </rPr>
      <t>rA</t>
    </r>
    <r>
      <rPr>
        <b/>
        <sz val="8"/>
        <rFont val="Arial"/>
        <family val="2"/>
      </rPr>
      <t xml:space="preserve"> / S</t>
    </r>
    <r>
      <rPr>
        <b/>
        <vertAlign val="subscript"/>
        <sz val="8"/>
        <rFont val="Arial"/>
        <family val="2"/>
      </rPr>
      <t>rB</t>
    </r>
    <r>
      <rPr>
        <b/>
        <sz val="8"/>
        <rFont val="Arial"/>
        <family val="2"/>
      </rPr>
      <t xml:space="preserve"> = I</t>
    </r>
    <r>
      <rPr>
        <b/>
        <vertAlign val="subscript"/>
        <sz val="8"/>
        <rFont val="Arial"/>
        <family val="2"/>
      </rPr>
      <t>TA</t>
    </r>
    <r>
      <rPr>
        <b/>
        <sz val="8"/>
        <rFont val="Arial"/>
        <family val="2"/>
      </rPr>
      <t xml:space="preserve"> / I</t>
    </r>
    <r>
      <rPr>
        <b/>
        <vertAlign val="subscript"/>
        <sz val="8"/>
        <rFont val="Arial"/>
        <family val="2"/>
      </rPr>
      <t xml:space="preserve">TB </t>
    </r>
    <r>
      <rPr>
        <b/>
        <sz val="8"/>
        <rFont val="Arial"/>
        <family val="2"/>
      </rPr>
      <t>= I</t>
    </r>
    <r>
      <rPr>
        <b/>
        <vertAlign val="subscript"/>
        <sz val="8"/>
        <rFont val="Arial"/>
        <family val="2"/>
      </rPr>
      <t xml:space="preserve">pA </t>
    </r>
    <r>
      <rPr>
        <b/>
        <sz val="8"/>
        <rFont val="Arial"/>
        <family val="2"/>
      </rPr>
      <t>/ I</t>
    </r>
    <r>
      <rPr>
        <b/>
        <vertAlign val="subscript"/>
        <sz val="8"/>
        <rFont val="Arial"/>
        <family val="2"/>
      </rPr>
      <t>pB</t>
    </r>
    <r>
      <rPr>
        <b/>
        <sz val="8"/>
        <rFont val="Arial"/>
        <family val="2"/>
      </rPr>
      <t xml:space="preserve"> = I</t>
    </r>
    <r>
      <rPr>
        <b/>
        <vertAlign val="subscript"/>
        <sz val="8"/>
        <rFont val="Arial"/>
        <family val="2"/>
      </rPr>
      <t xml:space="preserve">qA </t>
    </r>
    <r>
      <rPr>
        <b/>
        <sz val="8"/>
        <rFont val="Arial"/>
        <family val="2"/>
      </rPr>
      <t>/ I</t>
    </r>
    <r>
      <rPr>
        <b/>
        <vertAlign val="subscript"/>
        <sz val="8"/>
        <rFont val="Arial"/>
        <family val="2"/>
      </rPr>
      <t>qB</t>
    </r>
  </si>
  <si>
    <r>
      <t>D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[S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/ (S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+ S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>)]</t>
    </r>
  </si>
  <si>
    <r>
      <t>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- </t>
    </r>
    <r>
      <rPr>
        <sz val="8"/>
        <rFont val="Symbol"/>
        <family val="1"/>
      </rPr>
      <t>D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[S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/ (S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+ S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>)]</t>
    </r>
  </si>
  <si>
    <r>
      <t>D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[S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 xml:space="preserve"> / (S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+ S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>)]</t>
    </r>
  </si>
  <si>
    <r>
      <t>I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 xml:space="preserve"> - </t>
    </r>
    <r>
      <rPr>
        <sz val="8"/>
        <rFont val="Symbol"/>
        <family val="1"/>
      </rPr>
      <t>D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[S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 xml:space="preserve"> / (S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+ S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>)]</t>
    </r>
  </si>
  <si>
    <r>
      <t>I</t>
    </r>
    <r>
      <rPr>
        <vertAlign val="subscript"/>
        <sz val="8"/>
        <rFont val="Arial"/>
        <family val="2"/>
      </rPr>
      <t>LastA#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S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 xml:space="preserve"> / (S</t>
    </r>
    <r>
      <rPr>
        <vertAlign val="subscript"/>
        <sz val="8"/>
        <rFont val="Arial"/>
        <family val="2"/>
      </rPr>
      <t xml:space="preserve">rA </t>
    </r>
    <r>
      <rPr>
        <sz val="8"/>
        <rFont val="Arial"/>
        <family val="2"/>
      </rPr>
      <t>+ S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>)</t>
    </r>
  </si>
  <si>
    <r>
      <t>I</t>
    </r>
    <r>
      <rPr>
        <vertAlign val="subscript"/>
        <sz val="8"/>
        <rFont val="Arial"/>
        <family val="2"/>
      </rPr>
      <t>LastB#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S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/ (S</t>
    </r>
    <r>
      <rPr>
        <vertAlign val="subscript"/>
        <sz val="8"/>
        <rFont val="Arial"/>
        <family val="2"/>
      </rPr>
      <t xml:space="preserve">rA </t>
    </r>
    <r>
      <rPr>
        <sz val="8"/>
        <rFont val="Arial"/>
        <family val="2"/>
      </rPr>
      <t>+ S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>)</t>
    </r>
  </si>
  <si>
    <r>
      <t>D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[R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/ (R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+ R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>)]</t>
    </r>
  </si>
  <si>
    <r>
      <t>D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[R</t>
    </r>
    <r>
      <rPr>
        <vertAlign val="subscript"/>
        <sz val="8"/>
        <rFont val="Arial"/>
        <family val="2"/>
      </rPr>
      <t xml:space="preserve">A </t>
    </r>
    <r>
      <rPr>
        <sz val="8"/>
        <rFont val="Arial"/>
        <family val="2"/>
      </rPr>
      <t>/ (R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+ R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>)]</t>
    </r>
  </si>
  <si>
    <r>
      <t>I</t>
    </r>
    <r>
      <rPr>
        <vertAlign val="subscript"/>
        <sz val="8"/>
        <rFont val="Arial"/>
        <family val="2"/>
      </rPr>
      <t>Last B*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[R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/ (R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+ R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>)]</t>
    </r>
  </si>
  <si>
    <r>
      <t>D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>0A</t>
    </r>
    <r>
      <rPr>
        <sz val="8"/>
        <rFont val="Arial"/>
        <family val="2"/>
      </rPr>
      <t xml:space="preserve"> / U</t>
    </r>
    <r>
      <rPr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 [%]</t>
    </r>
  </si>
  <si>
    <r>
      <t>R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/ R</t>
    </r>
    <r>
      <rPr>
        <vertAlign val="subscript"/>
        <sz val="8"/>
        <rFont val="Arial"/>
        <family val="2"/>
      </rPr>
      <t>A</t>
    </r>
  </si>
  <si>
    <r>
      <t>R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</t>
    </r>
  </si>
  <si>
    <r>
      <t>X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</t>
    </r>
  </si>
  <si>
    <r>
      <t>Z</t>
    </r>
    <r>
      <rPr>
        <vertAlign val="subscript"/>
        <sz val="8"/>
        <rFont val="Arial"/>
        <family val="2"/>
      </rPr>
      <t>kA</t>
    </r>
    <r>
      <rPr>
        <sz val="8"/>
        <rFont val="Arial"/>
        <family val="2"/>
      </rPr>
      <t xml:space="preserve"> </t>
    </r>
  </si>
  <si>
    <r>
      <t>R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</t>
    </r>
  </si>
  <si>
    <r>
      <t>X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</t>
    </r>
  </si>
  <si>
    <r>
      <t>Z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</t>
    </r>
  </si>
  <si>
    <r>
      <t>R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</t>
    </r>
  </si>
  <si>
    <r>
      <t>X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</t>
    </r>
  </si>
  <si>
    <r>
      <t>Z</t>
    </r>
    <r>
      <rPr>
        <vertAlign val="subscript"/>
        <sz val="8"/>
        <rFont val="Arial"/>
        <family val="2"/>
      </rPr>
      <t>kB</t>
    </r>
    <r>
      <rPr>
        <sz val="8"/>
        <rFont val="Arial"/>
        <family val="2"/>
      </rPr>
      <t xml:space="preserve"> </t>
    </r>
  </si>
  <si>
    <r>
      <t>R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</t>
    </r>
  </si>
  <si>
    <r>
      <t>X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</t>
    </r>
  </si>
  <si>
    <r>
      <t>Z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</t>
    </r>
  </si>
  <si>
    <t>Stufenstellungen</t>
  </si>
  <si>
    <r>
      <t>P</t>
    </r>
    <r>
      <rPr>
        <vertAlign val="subscript"/>
        <sz val="8"/>
        <rFont val="Arial"/>
        <family val="2"/>
      </rPr>
      <t xml:space="preserve">min </t>
    </r>
    <r>
      <rPr>
        <sz val="8"/>
        <rFont val="Arial"/>
        <family val="2"/>
      </rPr>
      <t>[kW]</t>
    </r>
  </si>
  <si>
    <r>
      <t>S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[MVA]</t>
    </r>
  </si>
  <si>
    <r>
      <t>S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[MVA]</t>
    </r>
  </si>
  <si>
    <r>
      <t>S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/ S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/ I</t>
    </r>
    <r>
      <rPr>
        <vertAlign val="subscript"/>
        <sz val="8"/>
        <rFont val="Arial"/>
        <family val="2"/>
      </rPr>
      <t xml:space="preserve">TB </t>
    </r>
    <r>
      <rPr>
        <sz val="8"/>
        <rFont val="Arial"/>
        <family val="2"/>
      </rPr>
      <t>= I</t>
    </r>
    <r>
      <rPr>
        <vertAlign val="subscript"/>
        <sz val="8"/>
        <rFont val="Arial"/>
        <family val="2"/>
      </rPr>
      <t xml:space="preserve">pA </t>
    </r>
    <r>
      <rPr>
        <sz val="8"/>
        <rFont val="Arial"/>
        <family val="2"/>
      </rPr>
      <t>/ I</t>
    </r>
    <r>
      <rPr>
        <vertAlign val="subscript"/>
        <sz val="8"/>
        <rFont val="Arial"/>
        <family val="2"/>
      </rPr>
      <t>pB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 xml:space="preserve">qA </t>
    </r>
    <r>
      <rPr>
        <sz val="8"/>
        <rFont val="Arial"/>
        <family val="2"/>
      </rPr>
      <t>/ I</t>
    </r>
    <r>
      <rPr>
        <vertAlign val="subscript"/>
        <sz val="8"/>
        <rFont val="Arial"/>
        <family val="2"/>
      </rPr>
      <t>qB</t>
    </r>
  </si>
  <si>
    <r>
      <t>P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/ P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= R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/ R</t>
    </r>
    <r>
      <rPr>
        <vertAlign val="subscript"/>
        <sz val="8"/>
        <rFont val="Arial"/>
        <family val="2"/>
      </rPr>
      <t xml:space="preserve">A </t>
    </r>
  </si>
  <si>
    <r>
      <t>S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/ S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 xml:space="preserve">qA </t>
    </r>
    <r>
      <rPr>
        <sz val="8"/>
        <rFont val="Arial"/>
        <family val="2"/>
      </rPr>
      <t>/ I</t>
    </r>
    <r>
      <rPr>
        <vertAlign val="subscript"/>
        <sz val="8"/>
        <rFont val="Arial"/>
        <family val="2"/>
      </rPr>
      <t>qB</t>
    </r>
  </si>
  <si>
    <r>
      <t>P</t>
    </r>
    <r>
      <rPr>
        <vertAlign val="subscript"/>
        <sz val="8"/>
        <rFont val="Arial"/>
        <family val="2"/>
      </rPr>
      <t xml:space="preserve">A </t>
    </r>
    <r>
      <rPr>
        <sz val="8"/>
        <rFont val="Arial"/>
        <family val="2"/>
      </rPr>
      <t>[kW]</t>
    </r>
  </si>
  <si>
    <r>
      <t>P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>[kW]</t>
    </r>
  </si>
  <si>
    <r>
      <t>P</t>
    </r>
    <r>
      <rPr>
        <vertAlign val="subscript"/>
        <sz val="8"/>
        <rFont val="Symbol"/>
        <family val="1"/>
      </rPr>
      <t>S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[kW]</t>
    </r>
  </si>
  <si>
    <r>
      <t>P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/ P</t>
    </r>
    <r>
      <rPr>
        <vertAlign val="subscript"/>
        <sz val="8"/>
        <rFont val="Arial"/>
        <family val="2"/>
      </rPr>
      <t>B</t>
    </r>
  </si>
  <si>
    <r>
      <t>Z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/ Z</t>
    </r>
    <r>
      <rPr>
        <vertAlign val="subscript"/>
        <sz val="8"/>
        <rFont val="Arial"/>
        <family val="2"/>
      </rPr>
      <t>A</t>
    </r>
  </si>
  <si>
    <r>
      <t>natürliche Verteilung    S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/ S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= Z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/ Z</t>
    </r>
    <r>
      <rPr>
        <vertAlign val="subscript"/>
        <sz val="8"/>
        <rFont val="Arial"/>
        <family val="2"/>
      </rPr>
      <t>A</t>
    </r>
  </si>
  <si>
    <r>
      <t>S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+ S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</t>
    </r>
  </si>
  <si>
    <r>
      <t>P</t>
    </r>
    <r>
      <rPr>
        <vertAlign val="subscript"/>
        <sz val="8"/>
        <rFont val="Symbol"/>
        <family val="1"/>
      </rPr>
      <t>S</t>
    </r>
    <r>
      <rPr>
        <sz val="8"/>
        <rFont val="Symbol"/>
        <family val="1"/>
      </rPr>
      <t xml:space="preserve">- </t>
    </r>
    <r>
      <rPr>
        <sz val="8"/>
        <rFont val="Arial"/>
        <family val="2"/>
      </rPr>
      <t>P</t>
    </r>
    <r>
      <rPr>
        <vertAlign val="subscript"/>
        <sz val="8"/>
        <rFont val="Arial"/>
        <family val="2"/>
      </rPr>
      <t>min</t>
    </r>
    <r>
      <rPr>
        <sz val="8"/>
        <rFont val="Arial"/>
        <family val="2"/>
      </rPr>
      <t>[%]</t>
    </r>
  </si>
  <si>
    <r>
      <t>D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>0A</t>
    </r>
    <r>
      <rPr>
        <sz val="8"/>
        <rFont val="Arial"/>
        <family val="2"/>
      </rPr>
      <t xml:space="preserve"> / U</t>
    </r>
    <r>
      <rPr>
        <vertAlign val="subscript"/>
        <sz val="8"/>
        <rFont val="Arial"/>
        <family val="2"/>
      </rPr>
      <t>stA</t>
    </r>
    <r>
      <rPr>
        <sz val="8"/>
        <rFont val="Arial"/>
        <family val="2"/>
      </rPr>
      <t xml:space="preserve"> </t>
    </r>
  </si>
  <si>
    <t xml:space="preserve">Erforderliche Korrekturspannung </t>
  </si>
  <si>
    <t>Trafo-Strom</t>
  </si>
  <si>
    <t>I² [A²]</t>
  </si>
  <si>
    <r>
      <t>z</t>
    </r>
    <r>
      <rPr>
        <vertAlign val="subscript"/>
        <sz val="8"/>
        <rFont val="Arial"/>
        <family val="2"/>
      </rPr>
      <t>min</t>
    </r>
    <r>
      <rPr>
        <sz val="8"/>
        <rFont val="Arial"/>
        <family val="2"/>
      </rPr>
      <t xml:space="preserve"> [%]</t>
    </r>
  </si>
  <si>
    <r>
      <t>I</t>
    </r>
    <r>
      <rPr>
        <vertAlign val="subscript"/>
        <sz val="8"/>
        <rFont val="Arial"/>
        <family val="2"/>
      </rPr>
      <t>pTA</t>
    </r>
    <r>
      <rPr>
        <sz val="8"/>
        <rFont val="Arial"/>
        <family val="2"/>
      </rPr>
      <t xml:space="preserve"> / I</t>
    </r>
    <r>
      <rPr>
        <vertAlign val="subscript"/>
        <sz val="8"/>
        <rFont val="Arial"/>
        <family val="2"/>
      </rPr>
      <t>pTB</t>
    </r>
  </si>
  <si>
    <r>
      <t>I</t>
    </r>
    <r>
      <rPr>
        <vertAlign val="subscript"/>
        <sz val="8"/>
        <rFont val="Arial"/>
        <family val="2"/>
      </rPr>
      <t>qTA</t>
    </r>
    <r>
      <rPr>
        <sz val="8"/>
        <rFont val="Arial"/>
        <family val="2"/>
      </rPr>
      <t xml:space="preserve"> / I</t>
    </r>
    <r>
      <rPr>
        <vertAlign val="subscript"/>
        <sz val="8"/>
        <rFont val="Arial"/>
        <family val="2"/>
      </rPr>
      <t>qTB</t>
    </r>
  </si>
  <si>
    <r>
      <t>D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[A]</t>
    </r>
  </si>
  <si>
    <r>
      <t>D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[R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/ (R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+ R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>)]</t>
    </r>
  </si>
  <si>
    <r>
      <t>D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[S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/ (S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+ S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>)]</t>
    </r>
  </si>
  <si>
    <r>
      <t>D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qTA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qLast</t>
    </r>
    <r>
      <rPr>
        <sz val="8"/>
        <rFont val="Arial"/>
        <family val="2"/>
      </rPr>
      <t xml:space="preserve"> [S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/ (S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+ S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>)] = I*</t>
    </r>
    <r>
      <rPr>
        <vertAlign val="subscript"/>
        <sz val="8"/>
        <rFont val="Arial"/>
        <family val="2"/>
      </rPr>
      <t xml:space="preserve">cirA </t>
    </r>
  </si>
  <si>
    <r>
      <t>Z</t>
    </r>
    <r>
      <rPr>
        <vertAlign val="subscript"/>
        <sz val="8"/>
        <rFont val="Arial"/>
        <family val="2"/>
      </rPr>
      <t>ref</t>
    </r>
  </si>
  <si>
    <r>
      <t>Z</t>
    </r>
    <r>
      <rPr>
        <vertAlign val="subscript"/>
        <sz val="8"/>
        <rFont val="Arial"/>
        <family val="2"/>
      </rPr>
      <t>k</t>
    </r>
  </si>
  <si>
    <r>
      <t>P</t>
    </r>
    <r>
      <rPr>
        <vertAlign val="subscript"/>
        <sz val="8"/>
        <rFont val="Arial"/>
        <family val="2"/>
      </rPr>
      <t>V</t>
    </r>
    <r>
      <rPr>
        <sz val="8"/>
        <rFont val="Arial"/>
        <family val="2"/>
      </rPr>
      <t xml:space="preserve"> [kW]</t>
    </r>
  </si>
  <si>
    <r>
      <t>I</t>
    </r>
    <r>
      <rPr>
        <vertAlign val="subscript"/>
        <sz val="8"/>
        <rFont val="Arial"/>
        <family val="2"/>
      </rPr>
      <t>cirA</t>
    </r>
    <r>
      <rPr>
        <sz val="8"/>
        <rFont val="Arial"/>
        <family val="2"/>
      </rPr>
      <t xml:space="preserve"> [A]</t>
    </r>
  </si>
  <si>
    <t>Impedanz der Last (Verbraucherschaltung + Zuleitung;   Last spannungsunabhängig)</t>
  </si>
  <si>
    <r>
      <t>Bedingung P</t>
    </r>
    <r>
      <rPr>
        <b/>
        <vertAlign val="subscript"/>
        <sz val="8"/>
        <rFont val="Arial"/>
        <family val="2"/>
      </rPr>
      <t>A</t>
    </r>
    <r>
      <rPr>
        <b/>
        <sz val="8"/>
        <rFont val="Arial"/>
        <family val="2"/>
      </rPr>
      <t xml:space="preserve"> / P</t>
    </r>
    <r>
      <rPr>
        <b/>
        <vertAlign val="subscript"/>
        <sz val="8"/>
        <rFont val="Arial"/>
        <family val="2"/>
      </rPr>
      <t>B</t>
    </r>
    <r>
      <rPr>
        <b/>
        <sz val="8"/>
        <rFont val="Arial"/>
        <family val="2"/>
      </rPr>
      <t xml:space="preserve"> = R</t>
    </r>
    <r>
      <rPr>
        <b/>
        <vertAlign val="subscript"/>
        <sz val="8"/>
        <rFont val="Arial"/>
        <family val="2"/>
      </rPr>
      <t>B</t>
    </r>
    <r>
      <rPr>
        <b/>
        <sz val="8"/>
        <rFont val="Arial"/>
        <family val="2"/>
      </rPr>
      <t xml:space="preserve"> / R</t>
    </r>
    <r>
      <rPr>
        <b/>
        <vertAlign val="subscript"/>
        <sz val="8"/>
        <rFont val="Arial"/>
        <family val="2"/>
      </rPr>
      <t xml:space="preserve">A </t>
    </r>
  </si>
  <si>
    <r>
      <t>D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= I*</t>
    </r>
    <r>
      <rPr>
        <vertAlign val="subscript"/>
        <sz val="8"/>
        <rFont val="Arial"/>
        <family val="2"/>
      </rPr>
      <t>cirA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qTA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qLast</t>
    </r>
    <r>
      <rPr>
        <sz val="8"/>
        <rFont val="Arial"/>
        <family val="2"/>
      </rPr>
      <t xml:space="preserve"> S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/ (S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+ S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>)</t>
    </r>
  </si>
  <si>
    <r>
      <t>D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= I*</t>
    </r>
    <r>
      <rPr>
        <vertAlign val="subscript"/>
        <sz val="8"/>
        <rFont val="Arial"/>
        <family val="2"/>
      </rPr>
      <t>cirB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qTB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qLast</t>
    </r>
    <r>
      <rPr>
        <sz val="8"/>
        <rFont val="Arial"/>
        <family val="2"/>
      </rPr>
      <t xml:space="preserve"> S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 xml:space="preserve"> / (S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+ S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>)</t>
    </r>
  </si>
  <si>
    <t>Verhältnisse der Leistungen und Ströme</t>
  </si>
  <si>
    <r>
      <t xml:space="preserve"> </t>
    </r>
    <r>
      <rPr>
        <b/>
        <i/>
        <sz val="8"/>
        <rFont val="Symbol"/>
        <family val="1"/>
      </rPr>
      <t>D</t>
    </r>
    <r>
      <rPr>
        <b/>
        <i/>
        <sz val="8"/>
        <rFont val="Arial"/>
        <family val="2"/>
      </rPr>
      <t>Isin</t>
    </r>
    <r>
      <rPr>
        <b/>
        <i/>
        <sz val="8"/>
        <rFont val="Symbol"/>
        <family val="1"/>
      </rPr>
      <t>j</t>
    </r>
    <r>
      <rPr>
        <b/>
        <i/>
        <sz val="8"/>
        <rFont val="Arial"/>
        <family val="2"/>
      </rPr>
      <t>(S) Verfahren</t>
    </r>
  </si>
  <si>
    <r>
      <t xml:space="preserve"> </t>
    </r>
    <r>
      <rPr>
        <b/>
        <i/>
        <sz val="8"/>
        <rFont val="Symbol"/>
        <family val="1"/>
      </rPr>
      <t>D</t>
    </r>
    <r>
      <rPr>
        <b/>
        <i/>
        <sz val="8"/>
        <rFont val="Arial"/>
        <family val="2"/>
      </rPr>
      <t>Isin</t>
    </r>
    <r>
      <rPr>
        <b/>
        <i/>
        <sz val="8"/>
        <rFont val="Symbol"/>
        <family val="1"/>
      </rPr>
      <t>j</t>
    </r>
    <r>
      <rPr>
        <b/>
        <i/>
        <sz val="8"/>
        <rFont val="Arial"/>
        <family val="2"/>
      </rPr>
      <t xml:space="preserve"> - Verfahren</t>
    </r>
  </si>
  <si>
    <r>
      <t>I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</t>
    </r>
  </si>
  <si>
    <r>
      <t>S</t>
    </r>
    <r>
      <rPr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 [MVA]</t>
    </r>
  </si>
  <si>
    <r>
      <t>S</t>
    </r>
    <r>
      <rPr>
        <sz val="8"/>
        <rFont val="Arial"/>
        <family val="2"/>
      </rPr>
      <t xml:space="preserve"> [MVA]</t>
    </r>
  </si>
  <si>
    <r>
      <t>I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[A]</t>
    </r>
  </si>
  <si>
    <r>
      <t>I</t>
    </r>
    <r>
      <rPr>
        <vertAlign val="subscript"/>
        <sz val="8"/>
        <rFont val="Arial"/>
        <family val="2"/>
      </rPr>
      <t>pT</t>
    </r>
    <r>
      <rPr>
        <sz val="8"/>
        <rFont val="Arial"/>
        <family val="2"/>
      </rPr>
      <t xml:space="preserve"> [A]</t>
    </r>
  </si>
  <si>
    <r>
      <t>I</t>
    </r>
    <r>
      <rPr>
        <vertAlign val="subscript"/>
        <sz val="8"/>
        <rFont val="Arial"/>
        <family val="2"/>
      </rPr>
      <t>qT</t>
    </r>
    <r>
      <rPr>
        <sz val="8"/>
        <rFont val="Arial"/>
        <family val="2"/>
      </rPr>
      <t xml:space="preserve"> [A]</t>
    </r>
  </si>
  <si>
    <r>
      <t>I</t>
    </r>
    <r>
      <rPr>
        <vertAlign val="subscript"/>
        <sz val="8"/>
        <rFont val="Arial"/>
        <family val="2"/>
      </rPr>
      <t>LastT</t>
    </r>
    <r>
      <rPr>
        <sz val="8"/>
        <rFont val="Arial"/>
        <family val="2"/>
      </rPr>
      <t xml:space="preserve"> [A]</t>
    </r>
  </si>
  <si>
    <r>
      <t>I</t>
    </r>
    <r>
      <rPr>
        <vertAlign val="subscript"/>
        <sz val="8"/>
        <rFont val="Arial"/>
        <family val="2"/>
      </rPr>
      <t>LastpT</t>
    </r>
    <r>
      <rPr>
        <sz val="8"/>
        <rFont val="Arial"/>
        <family val="2"/>
      </rPr>
      <t xml:space="preserve"> [A]</t>
    </r>
  </si>
  <si>
    <r>
      <t>I</t>
    </r>
    <r>
      <rPr>
        <vertAlign val="subscript"/>
        <sz val="8"/>
        <rFont val="Arial"/>
        <family val="2"/>
      </rPr>
      <t>LastqT</t>
    </r>
    <r>
      <rPr>
        <sz val="8"/>
        <rFont val="Arial"/>
        <family val="2"/>
      </rPr>
      <t xml:space="preserve"> [A]</t>
    </r>
  </si>
  <si>
    <r>
      <t>sin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Tsoll</t>
    </r>
  </si>
  <si>
    <r>
      <t>cos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Tsoll</t>
    </r>
  </si>
  <si>
    <r>
      <t>z</t>
    </r>
    <r>
      <rPr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 [%]</t>
    </r>
  </si>
  <si>
    <t>Sr [MVA]</t>
  </si>
  <si>
    <r>
      <t xml:space="preserve">tan </t>
    </r>
    <r>
      <rPr>
        <sz val="8"/>
        <rFont val="Symbol"/>
        <family val="1"/>
      </rPr>
      <t>j</t>
    </r>
  </si>
  <si>
    <r>
      <t xml:space="preserve">cos </t>
    </r>
    <r>
      <rPr>
        <sz val="8"/>
        <rFont val="Symbol"/>
        <family val="1"/>
      </rPr>
      <t>j</t>
    </r>
  </si>
  <si>
    <r>
      <t xml:space="preserve">cos </t>
    </r>
    <r>
      <rPr>
        <sz val="8"/>
        <rFont val="Symbol"/>
        <family val="1"/>
      </rPr>
      <t>jA</t>
    </r>
  </si>
  <si>
    <r>
      <t xml:space="preserve">cos </t>
    </r>
    <r>
      <rPr>
        <sz val="8"/>
        <rFont val="Symbol"/>
        <family val="1"/>
      </rPr>
      <t>jB</t>
    </r>
  </si>
  <si>
    <r>
      <t>% von U</t>
    </r>
    <r>
      <rPr>
        <vertAlign val="subscript"/>
        <sz val="8"/>
        <rFont val="Arial"/>
        <family val="2"/>
      </rPr>
      <t>A0</t>
    </r>
  </si>
  <si>
    <r>
      <t>% von U</t>
    </r>
    <r>
      <rPr>
        <vertAlign val="subscript"/>
        <sz val="8"/>
        <rFont val="Arial"/>
        <family val="2"/>
      </rPr>
      <t>B0</t>
    </r>
  </si>
  <si>
    <r>
      <t>P</t>
    </r>
    <r>
      <rPr>
        <vertAlign val="subscript"/>
        <sz val="8"/>
        <rFont val="Arial"/>
        <family val="2"/>
      </rPr>
      <t>VA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[kW]</t>
    </r>
  </si>
  <si>
    <r>
      <t>P</t>
    </r>
    <r>
      <rPr>
        <vertAlign val="subscript"/>
        <sz val="8"/>
        <rFont val="Arial"/>
        <family val="2"/>
      </rPr>
      <t>VB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[kW]</t>
    </r>
  </si>
  <si>
    <t>Leiter-Leiter-Spannung</t>
  </si>
  <si>
    <r>
      <t>U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 xml:space="preserve"> [V]</t>
    </r>
  </si>
  <si>
    <r>
      <t>U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B0</t>
    </r>
    <r>
      <rPr>
        <sz val="8"/>
        <rFont val="Arial"/>
        <family val="2"/>
      </rPr>
      <t xml:space="preserve"> [V]</t>
    </r>
  </si>
  <si>
    <t>Leiter-Leiter-Spannungen</t>
  </si>
  <si>
    <r>
      <t>Zuleitung</t>
    </r>
    <r>
      <rPr>
        <sz val="8"/>
        <rFont val="Arial"/>
        <family val="2"/>
      </rPr>
      <t xml:space="preserve"> (pro Strang)</t>
    </r>
  </si>
  <si>
    <r>
      <t xml:space="preserve">Last </t>
    </r>
    <r>
      <rPr>
        <sz val="8"/>
        <rFont val="Arial"/>
        <family val="2"/>
      </rPr>
      <t>(pro Strang)</t>
    </r>
  </si>
  <si>
    <r>
      <t>Verbraucher</t>
    </r>
    <r>
      <rPr>
        <sz val="8"/>
        <rFont val="Arial"/>
        <family val="2"/>
      </rPr>
      <t xml:space="preserve"> (pro Strang)</t>
    </r>
  </si>
  <si>
    <t>Spannungen an den Transformatoren; Spannungsfall</t>
  </si>
  <si>
    <t>Umrechnung</t>
  </si>
  <si>
    <r>
      <t xml:space="preserve">natürliche Verteilung </t>
    </r>
    <r>
      <rPr>
        <i/>
        <sz val="8"/>
        <rFont val="Arial"/>
        <family val="2"/>
      </rPr>
      <t>S</t>
    </r>
    <r>
      <rPr>
        <i/>
        <vertAlign val="subscript"/>
        <sz val="8"/>
        <rFont val="Arial"/>
        <family val="2"/>
      </rPr>
      <t>A</t>
    </r>
    <r>
      <rPr>
        <i/>
        <sz val="8"/>
        <rFont val="Arial"/>
        <family val="2"/>
      </rPr>
      <t xml:space="preserve"> /S</t>
    </r>
    <r>
      <rPr>
        <i/>
        <vertAlign val="subscript"/>
        <sz val="8"/>
        <rFont val="Arial"/>
        <family val="2"/>
      </rPr>
      <t>B</t>
    </r>
    <r>
      <rPr>
        <i/>
        <sz val="8"/>
        <rFont val="Arial"/>
        <family val="2"/>
      </rPr>
      <t xml:space="preserve"> = Z</t>
    </r>
    <r>
      <rPr>
        <i/>
        <vertAlign val="subscript"/>
        <sz val="8"/>
        <rFont val="Arial"/>
        <family val="2"/>
      </rPr>
      <t>B</t>
    </r>
    <r>
      <rPr>
        <i/>
        <sz val="8"/>
        <rFont val="Arial"/>
        <family val="2"/>
      </rPr>
      <t xml:space="preserve"> /Z</t>
    </r>
    <r>
      <rPr>
        <i/>
        <vertAlign val="subscript"/>
        <sz val="8"/>
        <rFont val="Arial"/>
        <family val="2"/>
      </rPr>
      <t>A</t>
    </r>
  </si>
  <si>
    <r>
      <t>j</t>
    </r>
    <r>
      <rPr>
        <sz val="8"/>
        <rFont val="Arial"/>
        <family val="2"/>
      </rPr>
      <t xml:space="preserve"> [°]</t>
    </r>
  </si>
  <si>
    <r>
      <t>Z</t>
    </r>
    <r>
      <rPr>
        <vertAlign val="subscript"/>
        <sz val="8"/>
        <rFont val="Arial"/>
        <family val="2"/>
      </rPr>
      <t>LtgA</t>
    </r>
    <r>
      <rPr>
        <sz val="8"/>
        <rFont val="Symbol"/>
        <family val="1"/>
      </rPr>
      <t xml:space="preserve"> [W]</t>
    </r>
  </si>
  <si>
    <r>
      <t>Z</t>
    </r>
    <r>
      <rPr>
        <vertAlign val="subscript"/>
        <sz val="8"/>
        <rFont val="Arial"/>
        <family val="2"/>
      </rPr>
      <t>LtgB</t>
    </r>
    <r>
      <rPr>
        <sz val="8"/>
        <rFont val="Symbol"/>
        <family val="1"/>
      </rPr>
      <t xml:space="preserve"> [W]</t>
    </r>
  </si>
  <si>
    <r>
      <t>U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: % von U</t>
    </r>
    <r>
      <rPr>
        <vertAlign val="subscript"/>
        <sz val="8"/>
        <rFont val="Arial"/>
        <family val="2"/>
      </rPr>
      <t>TA</t>
    </r>
  </si>
  <si>
    <r>
      <t>U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: % von U</t>
    </r>
    <r>
      <rPr>
        <vertAlign val="subscript"/>
        <sz val="8"/>
        <rFont val="Arial"/>
        <family val="2"/>
      </rPr>
      <t>TB</t>
    </r>
  </si>
  <si>
    <r>
      <t>I*</t>
    </r>
    <r>
      <rPr>
        <vertAlign val="subscript"/>
        <sz val="8"/>
        <rFont val="Arial"/>
        <family val="2"/>
      </rPr>
      <t>cirA</t>
    </r>
    <r>
      <rPr>
        <sz val="8"/>
        <rFont val="Arial"/>
        <family val="2"/>
      </rPr>
      <t xml:space="preserve"> [A]</t>
    </r>
  </si>
  <si>
    <r>
      <t>I*</t>
    </r>
    <r>
      <rPr>
        <vertAlign val="subscript"/>
        <sz val="8"/>
        <rFont val="Arial"/>
        <family val="2"/>
      </rPr>
      <t>cirB</t>
    </r>
    <r>
      <rPr>
        <sz val="8"/>
        <rFont val="Arial"/>
        <family val="2"/>
      </rPr>
      <t xml:space="preserve"> [A]</t>
    </r>
  </si>
  <si>
    <r>
      <t>Z</t>
    </r>
    <r>
      <rPr>
        <vertAlign val="subscript"/>
        <sz val="8"/>
        <rFont val="Arial"/>
        <family val="2"/>
      </rPr>
      <t>ref</t>
    </r>
    <r>
      <rPr>
        <sz val="8"/>
        <rFont val="Arial"/>
        <family val="2"/>
      </rPr>
      <t xml:space="preserve"> von T</t>
    </r>
    <r>
      <rPr>
        <vertAlign val="subscript"/>
        <sz val="8"/>
        <rFont val="Arial"/>
        <family val="2"/>
      </rPr>
      <t>A</t>
    </r>
  </si>
  <si>
    <r>
      <t>Z</t>
    </r>
    <r>
      <rPr>
        <vertAlign val="subscript"/>
        <sz val="8"/>
        <rFont val="Arial"/>
        <family val="2"/>
      </rPr>
      <t>ref</t>
    </r>
    <r>
      <rPr>
        <sz val="8"/>
        <rFont val="Arial"/>
        <family val="2"/>
      </rPr>
      <t xml:space="preserve"> von T</t>
    </r>
    <r>
      <rPr>
        <vertAlign val="subscript"/>
        <sz val="8"/>
        <rFont val="Arial"/>
        <family val="2"/>
      </rPr>
      <t>B</t>
    </r>
  </si>
  <si>
    <r>
      <t>U</t>
    </r>
    <r>
      <rPr>
        <vertAlign val="subscript"/>
        <sz val="8"/>
        <rFont val="Arial"/>
        <family val="2"/>
      </rPr>
      <t>A0rY</t>
    </r>
    <r>
      <rPr>
        <sz val="8"/>
        <rFont val="Arial"/>
        <family val="2"/>
      </rPr>
      <t xml:space="preserve"> [kV]</t>
    </r>
  </si>
  <si>
    <r>
      <t>U</t>
    </r>
    <r>
      <rPr>
        <vertAlign val="subscript"/>
        <sz val="8"/>
        <rFont val="Arial"/>
        <family val="2"/>
      </rPr>
      <t>B0rY</t>
    </r>
    <r>
      <rPr>
        <sz val="8"/>
        <rFont val="Arial"/>
        <family val="2"/>
      </rPr>
      <t xml:space="preserve"> [kV]</t>
    </r>
  </si>
  <si>
    <r>
      <t>U</t>
    </r>
    <r>
      <rPr>
        <vertAlign val="subscript"/>
        <sz val="8"/>
        <rFont val="Arial"/>
        <family val="2"/>
      </rPr>
      <t>A0r</t>
    </r>
    <r>
      <rPr>
        <vertAlign val="subscript"/>
        <sz val="8"/>
        <rFont val="Symbol"/>
        <family val="1"/>
      </rPr>
      <t>D</t>
    </r>
    <r>
      <rPr>
        <sz val="8"/>
        <rFont val="Arial"/>
        <family val="2"/>
      </rPr>
      <t xml:space="preserve"> [kV]</t>
    </r>
  </si>
  <si>
    <r>
      <t>U</t>
    </r>
    <r>
      <rPr>
        <vertAlign val="subscript"/>
        <sz val="8"/>
        <rFont val="Arial"/>
        <family val="2"/>
      </rPr>
      <t>B0r</t>
    </r>
    <r>
      <rPr>
        <vertAlign val="subscript"/>
        <sz val="8"/>
        <rFont val="Symbol"/>
        <family val="1"/>
      </rPr>
      <t>D</t>
    </r>
    <r>
      <rPr>
        <sz val="8"/>
        <rFont val="Arial"/>
        <family val="2"/>
      </rPr>
      <t xml:space="preserve"> [kV]</t>
    </r>
  </si>
  <si>
    <r>
      <t>j</t>
    </r>
    <r>
      <rPr>
        <vertAlign val="subscript"/>
        <sz val="8"/>
        <rFont val="Arial"/>
        <family val="2"/>
      </rPr>
      <t>kA</t>
    </r>
    <r>
      <rPr>
        <sz val="8"/>
        <rFont val="Symbol"/>
        <family val="1"/>
      </rPr>
      <t xml:space="preserve"> - j</t>
    </r>
    <r>
      <rPr>
        <vertAlign val="subscript"/>
        <sz val="8"/>
        <rFont val="Arial"/>
        <family val="2"/>
      </rPr>
      <t>kB</t>
    </r>
    <r>
      <rPr>
        <sz val="8"/>
        <rFont val="Arial"/>
        <family val="2"/>
      </rPr>
      <t xml:space="preserve"> [°]</t>
    </r>
  </si>
  <si>
    <r>
      <t>Z</t>
    </r>
    <r>
      <rPr>
        <vertAlign val="subscript"/>
        <sz val="8"/>
        <rFont val="Arial"/>
        <family val="2"/>
      </rPr>
      <t>cir</t>
    </r>
    <r>
      <rPr>
        <sz val="8"/>
        <rFont val="Arial"/>
        <family val="2"/>
      </rPr>
      <t xml:space="preserve"> = </t>
    </r>
    <r>
      <rPr>
        <u val="single"/>
        <sz val="8"/>
        <rFont val="Arial"/>
        <family val="2"/>
      </rPr>
      <t>Z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+ </t>
    </r>
    <r>
      <rPr>
        <u val="single"/>
        <sz val="8"/>
        <rFont val="Arial"/>
        <family val="2"/>
      </rPr>
      <t>Z</t>
    </r>
    <r>
      <rPr>
        <vertAlign val="subscript"/>
        <sz val="8"/>
        <rFont val="Arial"/>
        <family val="2"/>
      </rPr>
      <t>B</t>
    </r>
  </si>
  <si>
    <t>Verfügbare Scheinleistung</t>
  </si>
  <si>
    <r>
      <t>Z</t>
    </r>
    <r>
      <rPr>
        <b/>
        <vertAlign val="subscript"/>
        <sz val="8"/>
        <rFont val="Arial"/>
        <family val="2"/>
      </rPr>
      <t>Ltg</t>
    </r>
    <r>
      <rPr>
        <b/>
        <sz val="8"/>
        <rFont val="Arial"/>
        <family val="2"/>
      </rPr>
      <t xml:space="preserve"> </t>
    </r>
  </si>
  <si>
    <r>
      <t>Z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= Z</t>
    </r>
    <r>
      <rPr>
        <vertAlign val="subscript"/>
        <sz val="8"/>
        <rFont val="Arial"/>
        <family val="2"/>
      </rPr>
      <t>Verbraucher</t>
    </r>
    <r>
      <rPr>
        <sz val="8"/>
        <rFont val="Arial"/>
        <family val="2"/>
      </rPr>
      <t xml:space="preserve"> + Z</t>
    </r>
    <r>
      <rPr>
        <vertAlign val="subscript"/>
        <sz val="8"/>
        <rFont val="Arial"/>
        <family val="2"/>
      </rPr>
      <t>Ltg</t>
    </r>
    <r>
      <rPr>
        <sz val="8"/>
        <rFont val="Arial"/>
        <family val="2"/>
      </rPr>
      <t xml:space="preserve"> </t>
    </r>
  </si>
  <si>
    <r>
      <t>D</t>
    </r>
    <r>
      <rPr>
        <sz val="8"/>
        <rFont val="Arial"/>
        <family val="2"/>
      </rPr>
      <t xml:space="preserve"> Stufe</t>
    </r>
  </si>
  <si>
    <r>
      <t xml:space="preserve"> z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/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vertAlign val="subscript"/>
        <sz val="8"/>
        <rFont val="Arial"/>
        <family val="2"/>
      </rPr>
      <t>mittel</t>
    </r>
  </si>
  <si>
    <t>Differenz von:</t>
  </si>
  <si>
    <t>Bedingungen</t>
  </si>
  <si>
    <t>Alle Spannungen von Strang 1</t>
  </si>
  <si>
    <t>Q [MVar]</t>
  </si>
  <si>
    <r>
      <t>Stufenspannung U</t>
    </r>
    <r>
      <rPr>
        <vertAlign val="subscript"/>
        <sz val="8"/>
        <rFont val="Arial"/>
        <family val="2"/>
      </rPr>
      <t>st</t>
    </r>
    <r>
      <rPr>
        <sz val="8"/>
        <rFont val="Arial"/>
        <family val="2"/>
      </rPr>
      <t xml:space="preserve"> [V]</t>
    </r>
  </si>
  <si>
    <t>Eingabe:</t>
  </si>
  <si>
    <r>
      <t>T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+ </t>
    </r>
    <r>
      <rPr>
        <u val="single"/>
        <sz val="8"/>
        <rFont val="Arial"/>
        <family val="2"/>
      </rPr>
      <t>T</t>
    </r>
    <r>
      <rPr>
        <vertAlign val="subscript"/>
        <sz val="8"/>
        <rFont val="Arial"/>
        <family val="2"/>
      </rPr>
      <t>B</t>
    </r>
  </si>
  <si>
    <t>Kreisstromstärke [A]</t>
  </si>
  <si>
    <r>
      <t>D</t>
    </r>
    <r>
      <rPr>
        <sz val="8"/>
        <rFont val="Arial"/>
        <family val="2"/>
      </rPr>
      <t>R</t>
    </r>
    <r>
      <rPr>
        <vertAlign val="subscript"/>
        <sz val="8"/>
        <rFont val="Arial"/>
        <family val="2"/>
      </rPr>
      <t xml:space="preserve">A </t>
    </r>
    <r>
      <rPr>
        <sz val="8"/>
        <rFont val="Arial"/>
        <family val="2"/>
      </rPr>
      <t>[%]</t>
    </r>
  </si>
  <si>
    <r>
      <t>D</t>
    </r>
    <r>
      <rPr>
        <sz val="8"/>
        <rFont val="Arial"/>
        <family val="2"/>
      </rPr>
      <t>X</t>
    </r>
    <r>
      <rPr>
        <vertAlign val="subscript"/>
        <sz val="8"/>
        <rFont val="Arial"/>
        <family val="2"/>
      </rPr>
      <t xml:space="preserve">A </t>
    </r>
    <r>
      <rPr>
        <sz val="8"/>
        <rFont val="Arial"/>
        <family val="2"/>
      </rPr>
      <t>[%]</t>
    </r>
  </si>
  <si>
    <r>
      <t>D</t>
    </r>
    <r>
      <rPr>
        <sz val="8"/>
        <rFont val="Arial"/>
        <family val="2"/>
      </rPr>
      <t>R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>[%]</t>
    </r>
  </si>
  <si>
    <r>
      <t>D</t>
    </r>
    <r>
      <rPr>
        <sz val="8"/>
        <rFont val="Arial"/>
        <family val="2"/>
      </rPr>
      <t>X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>[%]</t>
    </r>
  </si>
  <si>
    <t>Feld I229 + J229</t>
  </si>
  <si>
    <t>Längsspannung [V]</t>
  </si>
  <si>
    <r>
      <t>für X</t>
    </r>
    <r>
      <rPr>
        <i/>
        <vertAlign val="subscript"/>
        <sz val="8"/>
        <rFont val="Arial"/>
        <family val="2"/>
      </rPr>
      <t xml:space="preserve">LtgA </t>
    </r>
    <r>
      <rPr>
        <i/>
        <sz val="8"/>
        <rFont val="Arial"/>
        <family val="2"/>
      </rPr>
      <t>kapazitiv</t>
    </r>
  </si>
  <si>
    <t>Vorzeichen negativ</t>
  </si>
  <si>
    <r>
      <t>für X</t>
    </r>
    <r>
      <rPr>
        <i/>
        <vertAlign val="subscript"/>
        <sz val="8"/>
        <rFont val="Arial"/>
        <family val="2"/>
      </rPr>
      <t xml:space="preserve">LtgB </t>
    </r>
    <r>
      <rPr>
        <i/>
        <sz val="8"/>
        <rFont val="Arial"/>
        <family val="2"/>
      </rPr>
      <t>kapazitiv</t>
    </r>
  </si>
  <si>
    <r>
      <t>Belastungsgrad S/S</t>
    </r>
    <r>
      <rPr>
        <vertAlign val="subscript"/>
        <sz val="8"/>
        <rFont val="Arial"/>
        <family val="2"/>
      </rPr>
      <t xml:space="preserve">r </t>
    </r>
  </si>
  <si>
    <r>
      <t>Belastungsgrad S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/S</t>
    </r>
    <r>
      <rPr>
        <vertAlign val="subscript"/>
        <sz val="8"/>
        <rFont val="Arial"/>
        <family val="2"/>
      </rPr>
      <t xml:space="preserve">r </t>
    </r>
  </si>
  <si>
    <r>
      <t>Belastungsgrad S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/S</t>
    </r>
    <r>
      <rPr>
        <vertAlign val="subscript"/>
        <sz val="8"/>
        <rFont val="Arial"/>
        <family val="2"/>
      </rPr>
      <t xml:space="preserve">r </t>
    </r>
  </si>
  <si>
    <t>S/Sr</t>
  </si>
  <si>
    <r>
      <t>[(U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>) + (U</t>
    </r>
    <r>
      <rPr>
        <vertAlign val="subscript"/>
        <sz val="8"/>
        <rFont val="Arial"/>
        <family val="2"/>
      </rPr>
      <t>B0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)] / ILast</t>
    </r>
  </si>
  <si>
    <r>
      <t>Z</t>
    </r>
    <r>
      <rPr>
        <i/>
        <vertAlign val="subscript"/>
        <sz val="8"/>
        <rFont val="Arial"/>
        <family val="2"/>
      </rPr>
      <t>LtgB</t>
    </r>
    <r>
      <rPr>
        <i/>
        <sz val="8"/>
        <rFont val="Arial"/>
        <family val="2"/>
      </rPr>
      <t xml:space="preserve">: Netzleitung zur Last bei Strahlennetz </t>
    </r>
    <r>
      <rPr>
        <b/>
        <i/>
        <sz val="8"/>
        <rFont val="Arial"/>
        <family val="2"/>
      </rPr>
      <t>oder</t>
    </r>
    <r>
      <rPr>
        <i/>
        <sz val="8"/>
        <rFont val="Arial"/>
        <family val="2"/>
      </rPr>
      <t xml:space="preserve"> Verbindungsleitung bis zur Sammelschiene </t>
    </r>
  </si>
  <si>
    <r>
      <t>Z</t>
    </r>
    <r>
      <rPr>
        <i/>
        <vertAlign val="subscript"/>
        <sz val="8"/>
        <rFont val="Arial"/>
        <family val="2"/>
      </rPr>
      <t>LtgA</t>
    </r>
    <r>
      <rPr>
        <i/>
        <sz val="8"/>
        <rFont val="Arial"/>
        <family val="2"/>
      </rPr>
      <t xml:space="preserve">: Netzleitung zur Last bei Strahlennetz </t>
    </r>
    <r>
      <rPr>
        <b/>
        <i/>
        <sz val="8"/>
        <rFont val="Arial"/>
        <family val="2"/>
      </rPr>
      <t>oder</t>
    </r>
    <r>
      <rPr>
        <i/>
        <sz val="8"/>
        <rFont val="Arial"/>
        <family val="2"/>
      </rPr>
      <t xml:space="preserve"> Verbindungsleitung bis zur Sammelschiene </t>
    </r>
  </si>
  <si>
    <r>
      <t xml:space="preserve"> sin</t>
    </r>
    <r>
      <rPr>
        <sz val="8"/>
        <rFont val="Symbol"/>
        <family val="1"/>
      </rPr>
      <t>j</t>
    </r>
  </si>
  <si>
    <r>
      <t>Wirkstrom I</t>
    </r>
    <r>
      <rPr>
        <vertAlign val="subscript"/>
        <sz val="8"/>
        <rFont val="Arial"/>
        <family val="2"/>
      </rPr>
      <t>pT</t>
    </r>
    <r>
      <rPr>
        <sz val="8"/>
        <rFont val="Arial"/>
        <family val="2"/>
      </rPr>
      <t xml:space="preserve"> </t>
    </r>
  </si>
  <si>
    <r>
      <t>Blindstrom I</t>
    </r>
    <r>
      <rPr>
        <vertAlign val="subscript"/>
        <sz val="8"/>
        <rFont val="Arial"/>
        <family val="2"/>
      </rPr>
      <t>qT</t>
    </r>
    <r>
      <rPr>
        <sz val="8"/>
        <rFont val="Arial"/>
        <family val="2"/>
      </rPr>
      <t xml:space="preserve"> </t>
    </r>
  </si>
  <si>
    <t>Winkel [°]</t>
  </si>
  <si>
    <t>Impedanzen, Spannungen pro Strang</t>
  </si>
  <si>
    <t xml:space="preserve"> Winkel [°]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</si>
</sst>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"/>
    <numFmt numFmtId="183" formatCode="0.000000"/>
    <numFmt numFmtId="184" formatCode="0.0000"/>
    <numFmt numFmtId="185" formatCode="0.00000000"/>
    <numFmt numFmtId="186" formatCode="0.0000000"/>
    <numFmt numFmtId="187" formatCode="0.000E+00"/>
    <numFmt numFmtId="188" formatCode="0.E+00"/>
    <numFmt numFmtId="189" formatCode="0.00000E+00"/>
    <numFmt numFmtId="190" formatCode="0.0000E+00"/>
    <numFmt numFmtId="191" formatCode="0.0E+00"/>
  </numFmts>
  <fonts count="24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vertAlign val="subscript"/>
      <sz val="8"/>
      <name val="Arial"/>
      <family val="2"/>
    </font>
    <font>
      <i/>
      <vertAlign val="subscript"/>
      <sz val="8"/>
      <name val="Arial"/>
      <family val="2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vertAlign val="subscript"/>
      <sz val="8"/>
      <name val="Symbol"/>
      <family val="1"/>
    </font>
    <font>
      <b/>
      <i/>
      <sz val="8"/>
      <name val="Symbol"/>
      <family val="1"/>
    </font>
    <font>
      <i/>
      <sz val="8"/>
      <color indexed="10"/>
      <name val="Arial"/>
      <family val="2"/>
    </font>
    <font>
      <sz val="8"/>
      <color indexed="14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color indexed="20"/>
      <name val="Arial"/>
      <family val="2"/>
    </font>
    <font>
      <sz val="8"/>
      <color indexed="10"/>
      <name val="Arial"/>
      <family val="2"/>
    </font>
    <font>
      <i/>
      <sz val="8"/>
      <name val="Symbol"/>
      <family val="1"/>
    </font>
    <font>
      <vertAlign val="superscript"/>
      <sz val="8"/>
      <name val="Arial"/>
      <family val="2"/>
    </font>
    <font>
      <i/>
      <sz val="8"/>
      <color indexed="20"/>
      <name val="Arial"/>
      <family val="2"/>
    </font>
    <font>
      <u val="single"/>
      <sz val="8"/>
      <name val="Arial"/>
      <family val="2"/>
    </font>
    <font>
      <i/>
      <sz val="8"/>
      <color indexed="50"/>
      <name val="Arial"/>
      <family val="2"/>
    </font>
    <font>
      <sz val="7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indexed="9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18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1" fontId="4" fillId="2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Alignment="1" applyProtection="1">
      <alignment horizontal="center" vertical="center"/>
      <protection locked="0"/>
    </xf>
    <xf numFmtId="180" fontId="4" fillId="0" borderId="0" xfId="0" applyNumberFormat="1" applyFont="1" applyFill="1" applyAlignment="1" applyProtection="1">
      <alignment horizontal="center" vertical="center"/>
      <protection/>
    </xf>
    <xf numFmtId="180" fontId="1" fillId="0" borderId="0" xfId="0" applyNumberFormat="1" applyFont="1" applyFill="1" applyAlignment="1" applyProtection="1">
      <alignment horizontal="center" vertical="center"/>
      <protection/>
    </xf>
    <xf numFmtId="181" fontId="1" fillId="3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2" fontId="1" fillId="0" borderId="0" xfId="0" applyNumberFormat="1" applyFont="1" applyAlignment="1" applyProtection="1">
      <alignment horizontal="center" vertical="center"/>
      <protection/>
    </xf>
    <xf numFmtId="180" fontId="1" fillId="0" borderId="0" xfId="0" applyNumberFormat="1" applyFont="1" applyAlignment="1" applyProtection="1">
      <alignment horizontal="center" vertical="center"/>
      <protection/>
    </xf>
    <xf numFmtId="184" fontId="1" fillId="0" borderId="0" xfId="0" applyNumberFormat="1" applyFont="1" applyAlignment="1" applyProtection="1">
      <alignment horizontal="center" vertical="center"/>
      <protection/>
    </xf>
    <xf numFmtId="180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2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2" fontId="1" fillId="0" borderId="0" xfId="0" applyNumberFormat="1" applyFont="1" applyFill="1" applyAlignment="1" applyProtection="1">
      <alignment vertical="center"/>
      <protection/>
    </xf>
    <xf numFmtId="2" fontId="1" fillId="0" borderId="0" xfId="0" applyNumberFormat="1" applyFont="1" applyAlignment="1" applyProtection="1">
      <alignment vertical="center"/>
      <protection/>
    </xf>
    <xf numFmtId="1" fontId="1" fillId="0" borderId="0" xfId="0" applyNumberFormat="1" applyFont="1" applyAlignment="1" applyProtection="1">
      <alignment horizontal="right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right" vertical="center"/>
      <protection/>
    </xf>
    <xf numFmtId="0" fontId="1" fillId="4" borderId="0" xfId="0" applyFont="1" applyFill="1" applyAlignment="1" applyProtection="1">
      <alignment horizontal="right" vertical="center"/>
      <protection/>
    </xf>
    <xf numFmtId="2" fontId="4" fillId="2" borderId="0" xfId="0" applyNumberFormat="1" applyFont="1" applyFill="1" applyBorder="1" applyAlignment="1" applyProtection="1">
      <alignment horizontal="center" vertical="center"/>
      <protection locked="0"/>
    </xf>
    <xf numFmtId="1" fontId="3" fillId="5" borderId="0" xfId="0" applyNumberFormat="1" applyFont="1" applyFill="1" applyAlignment="1" applyProtection="1">
      <alignment horizontal="center" vertical="center"/>
      <protection/>
    </xf>
    <xf numFmtId="0" fontId="1" fillId="6" borderId="0" xfId="0" applyFont="1" applyFill="1" applyAlignment="1" applyProtection="1">
      <alignment vertical="center"/>
      <protection/>
    </xf>
    <xf numFmtId="180" fontId="4" fillId="6" borderId="0" xfId="0" applyNumberFormat="1" applyFont="1" applyFill="1" applyAlignment="1" applyProtection="1">
      <alignment horizontal="center" vertical="center"/>
      <protection/>
    </xf>
    <xf numFmtId="181" fontId="4" fillId="6" borderId="0" xfId="0" applyNumberFormat="1" applyFont="1" applyFill="1" applyAlignment="1" applyProtection="1">
      <alignment horizontal="center" vertical="center"/>
      <protection/>
    </xf>
    <xf numFmtId="0" fontId="2" fillId="5" borderId="0" xfId="0" applyFont="1" applyFill="1" applyAlignment="1" applyProtection="1">
      <alignment vertical="center"/>
      <protection/>
    </xf>
    <xf numFmtId="180" fontId="1" fillId="5" borderId="0" xfId="0" applyNumberFormat="1" applyFont="1" applyFill="1" applyAlignment="1" applyProtection="1">
      <alignment horizontal="center" vertical="center"/>
      <protection/>
    </xf>
    <xf numFmtId="0" fontId="1" fillId="5" borderId="0" xfId="0" applyFont="1" applyFill="1" applyAlignment="1" applyProtection="1">
      <alignment horizontal="center" vertical="center"/>
      <protection/>
    </xf>
    <xf numFmtId="0" fontId="2" fillId="7" borderId="0" xfId="0" applyFont="1" applyFill="1" applyAlignment="1" applyProtection="1">
      <alignment horizontal="right" vertical="center"/>
      <protection/>
    </xf>
    <xf numFmtId="0" fontId="1" fillId="7" borderId="0" xfId="0" applyFont="1" applyFill="1" applyAlignment="1" applyProtection="1">
      <alignment horizontal="center" vertical="center"/>
      <protection/>
    </xf>
    <xf numFmtId="0" fontId="5" fillId="7" borderId="0" xfId="0" applyFont="1" applyFill="1" applyAlignment="1" applyProtection="1">
      <alignment horizontal="center" vertical="center"/>
      <protection/>
    </xf>
    <xf numFmtId="181" fontId="3" fillId="7" borderId="0" xfId="0" applyNumberFormat="1" applyFont="1" applyFill="1" applyAlignment="1" applyProtection="1">
      <alignment horizontal="right" vertical="center"/>
      <protection/>
    </xf>
    <xf numFmtId="181" fontId="1" fillId="7" borderId="0" xfId="0" applyNumberFormat="1" applyFont="1" applyFill="1" applyAlignment="1" applyProtection="1">
      <alignment horizontal="center" vertical="center"/>
      <protection/>
    </xf>
    <xf numFmtId="2" fontId="1" fillId="7" borderId="0" xfId="0" applyNumberFormat="1" applyFont="1" applyFill="1" applyAlignment="1" applyProtection="1">
      <alignment horizontal="center" vertical="center"/>
      <protection/>
    </xf>
    <xf numFmtId="0" fontId="1" fillId="7" borderId="0" xfId="0" applyFont="1" applyFill="1" applyAlignment="1" applyProtection="1">
      <alignment vertical="center"/>
      <protection/>
    </xf>
    <xf numFmtId="2" fontId="3" fillId="7" borderId="0" xfId="0" applyNumberFormat="1" applyFont="1" applyFill="1" applyAlignment="1" applyProtection="1">
      <alignment horizontal="right" vertical="center"/>
      <protection/>
    </xf>
    <xf numFmtId="180" fontId="4" fillId="7" borderId="0" xfId="0" applyNumberFormat="1" applyFont="1" applyFill="1" applyAlignment="1" applyProtection="1">
      <alignment horizontal="center" vertical="center"/>
      <protection/>
    </xf>
    <xf numFmtId="180" fontId="1" fillId="7" borderId="0" xfId="0" applyNumberFormat="1" applyFont="1" applyFill="1" applyAlignment="1" applyProtection="1">
      <alignment horizontal="center" vertical="center"/>
      <protection/>
    </xf>
    <xf numFmtId="184" fontId="1" fillId="7" borderId="0" xfId="0" applyNumberFormat="1" applyFont="1" applyFill="1" applyAlignment="1" applyProtection="1">
      <alignment horizontal="center" vertical="center"/>
      <protection/>
    </xf>
    <xf numFmtId="180" fontId="1" fillId="7" borderId="0" xfId="0" applyNumberFormat="1" applyFont="1" applyFill="1" applyAlignment="1" applyProtection="1">
      <alignment vertical="center"/>
      <protection/>
    </xf>
    <xf numFmtId="0" fontId="3" fillId="7" borderId="0" xfId="0" applyFont="1" applyFill="1" applyAlignment="1" applyProtection="1">
      <alignment horizontal="right" vertical="center"/>
      <protection/>
    </xf>
    <xf numFmtId="0" fontId="1" fillId="7" borderId="0" xfId="0" applyFont="1" applyFill="1" applyAlignment="1" applyProtection="1">
      <alignment horizontal="right" vertical="center"/>
      <protection/>
    </xf>
    <xf numFmtId="2" fontId="1" fillId="7" borderId="0" xfId="0" applyNumberFormat="1" applyFont="1" applyFill="1" applyBorder="1" applyAlignment="1" applyProtection="1">
      <alignment horizontal="center" vertical="center"/>
      <protection/>
    </xf>
    <xf numFmtId="2" fontId="4" fillId="7" borderId="0" xfId="0" applyNumberFormat="1" applyFont="1" applyFill="1" applyAlignment="1" applyProtection="1">
      <alignment horizontal="center" vertical="center"/>
      <protection/>
    </xf>
    <xf numFmtId="180" fontId="1" fillId="7" borderId="0" xfId="0" applyNumberFormat="1" applyFont="1" applyFill="1" applyAlignment="1" applyProtection="1">
      <alignment horizontal="right" vertical="center"/>
      <protection/>
    </xf>
    <xf numFmtId="0" fontId="1" fillId="7" borderId="0" xfId="0" applyFont="1" applyFill="1" applyAlignment="1" applyProtection="1">
      <alignment horizontal="left" vertical="center"/>
      <protection/>
    </xf>
    <xf numFmtId="0" fontId="12" fillId="7" borderId="0" xfId="0" applyFont="1" applyFill="1" applyAlignment="1" applyProtection="1">
      <alignment vertical="center"/>
      <protection/>
    </xf>
    <xf numFmtId="0" fontId="3" fillId="7" borderId="0" xfId="0" applyFont="1" applyFill="1" applyAlignment="1" applyProtection="1">
      <alignment horizontal="center" vertical="center"/>
      <protection/>
    </xf>
    <xf numFmtId="2" fontId="1" fillId="7" borderId="0" xfId="0" applyNumberFormat="1" applyFont="1" applyFill="1" applyAlignment="1" applyProtection="1">
      <alignment horizontal="right" vertical="center"/>
      <protection/>
    </xf>
    <xf numFmtId="181" fontId="1" fillId="7" borderId="0" xfId="0" applyNumberFormat="1" applyFont="1" applyFill="1" applyAlignment="1" applyProtection="1">
      <alignment horizontal="right" vertical="center"/>
      <protection/>
    </xf>
    <xf numFmtId="0" fontId="3" fillId="7" borderId="0" xfId="0" applyFont="1" applyFill="1" applyAlignment="1" applyProtection="1">
      <alignment horizontal="left" vertical="center"/>
      <protection/>
    </xf>
    <xf numFmtId="2" fontId="1" fillId="7" borderId="0" xfId="0" applyNumberFormat="1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right" vertical="center"/>
      <protection/>
    </xf>
    <xf numFmtId="2" fontId="1" fillId="7" borderId="0" xfId="0" applyNumberFormat="1" applyFont="1" applyFill="1" applyAlignment="1" applyProtection="1">
      <alignment vertical="center"/>
      <protection/>
    </xf>
    <xf numFmtId="1" fontId="1" fillId="7" borderId="0" xfId="0" applyNumberFormat="1" applyFont="1" applyFill="1" applyAlignment="1" applyProtection="1">
      <alignment horizontal="right" vertical="center"/>
      <protection/>
    </xf>
    <xf numFmtId="1" fontId="1" fillId="7" borderId="0" xfId="0" applyNumberFormat="1" applyFont="1" applyFill="1" applyAlignment="1" applyProtection="1">
      <alignment horizontal="center" vertical="center"/>
      <protection/>
    </xf>
    <xf numFmtId="181" fontId="4" fillId="7" borderId="0" xfId="0" applyNumberFormat="1" applyFont="1" applyFill="1" applyAlignment="1" applyProtection="1">
      <alignment horizontal="center" vertical="center"/>
      <protection/>
    </xf>
    <xf numFmtId="0" fontId="2" fillId="7" borderId="1" xfId="0" applyFont="1" applyFill="1" applyBorder="1" applyAlignment="1" applyProtection="1">
      <alignment horizontal="right" vertical="center"/>
      <protection/>
    </xf>
    <xf numFmtId="0" fontId="1" fillId="7" borderId="1" xfId="0" applyFont="1" applyFill="1" applyBorder="1" applyAlignment="1" applyProtection="1">
      <alignment horizontal="center" vertical="center"/>
      <protection/>
    </xf>
    <xf numFmtId="0" fontId="2" fillId="5" borderId="1" xfId="0" applyFont="1" applyFill="1" applyBorder="1" applyAlignment="1" applyProtection="1">
      <alignment horizontal="left" vertical="center"/>
      <protection/>
    </xf>
    <xf numFmtId="0" fontId="3" fillId="5" borderId="1" xfId="0" applyFont="1" applyFill="1" applyBorder="1" applyAlignment="1" applyProtection="1">
      <alignment horizontal="center" vertical="center"/>
      <protection/>
    </xf>
    <xf numFmtId="0" fontId="1" fillId="5" borderId="1" xfId="0" applyFont="1" applyFill="1" applyBorder="1" applyAlignment="1" applyProtection="1">
      <alignment horizontal="left" vertical="center"/>
      <protection/>
    </xf>
    <xf numFmtId="0" fontId="1" fillId="5" borderId="1" xfId="0" applyFont="1" applyFill="1" applyBorder="1" applyAlignment="1" applyProtection="1">
      <alignment vertical="center"/>
      <protection/>
    </xf>
    <xf numFmtId="180" fontId="1" fillId="5" borderId="1" xfId="0" applyNumberFormat="1" applyFont="1" applyFill="1" applyBorder="1" applyAlignment="1" applyProtection="1">
      <alignment horizontal="center" vertical="center"/>
      <protection/>
    </xf>
    <xf numFmtId="0" fontId="5" fillId="7" borderId="1" xfId="0" applyFont="1" applyFill="1" applyBorder="1" applyAlignment="1" applyProtection="1">
      <alignment horizontal="center" vertical="center"/>
      <protection/>
    </xf>
    <xf numFmtId="180" fontId="1" fillId="7" borderId="1" xfId="0" applyNumberFormat="1" applyFont="1" applyFill="1" applyBorder="1" applyAlignment="1" applyProtection="1">
      <alignment horizontal="center" vertical="center"/>
      <protection/>
    </xf>
    <xf numFmtId="181" fontId="1" fillId="7" borderId="1" xfId="0" applyNumberFormat="1" applyFont="1" applyFill="1" applyBorder="1" applyAlignment="1" applyProtection="1">
      <alignment horizontal="center" vertical="center"/>
      <protection/>
    </xf>
    <xf numFmtId="0" fontId="1" fillId="7" borderId="1" xfId="0" applyFont="1" applyFill="1" applyBorder="1" applyAlignment="1" applyProtection="1">
      <alignment horizontal="right" vertical="center"/>
      <protection/>
    </xf>
    <xf numFmtId="180" fontId="1" fillId="5" borderId="1" xfId="0" applyNumberFormat="1" applyFont="1" applyFill="1" applyBorder="1" applyAlignment="1" applyProtection="1">
      <alignment vertical="center"/>
      <protection/>
    </xf>
    <xf numFmtId="180" fontId="1" fillId="5" borderId="1" xfId="0" applyNumberFormat="1" applyFont="1" applyFill="1" applyBorder="1" applyAlignment="1" applyProtection="1">
      <alignment horizontal="right" vertical="center"/>
      <protection/>
    </xf>
    <xf numFmtId="2" fontId="1" fillId="5" borderId="1" xfId="0" applyNumberFormat="1" applyFont="1" applyFill="1" applyBorder="1" applyAlignment="1" applyProtection="1">
      <alignment vertical="center"/>
      <protection/>
    </xf>
    <xf numFmtId="0" fontId="2" fillId="7" borderId="0" xfId="0" applyFont="1" applyFill="1" applyAlignment="1" applyProtection="1">
      <alignment vertical="center"/>
      <protection/>
    </xf>
    <xf numFmtId="0" fontId="1" fillId="7" borderId="1" xfId="0" applyFont="1" applyFill="1" applyBorder="1" applyAlignment="1" applyProtection="1">
      <alignment vertical="center"/>
      <protection/>
    </xf>
    <xf numFmtId="1" fontId="1" fillId="5" borderId="1" xfId="0" applyNumberFormat="1" applyFont="1" applyFill="1" applyBorder="1" applyAlignment="1" applyProtection="1">
      <alignment vertical="center"/>
      <protection/>
    </xf>
    <xf numFmtId="180" fontId="4" fillId="5" borderId="1" xfId="0" applyNumberFormat="1" applyFont="1" applyFill="1" applyBorder="1" applyAlignment="1" applyProtection="1">
      <alignment horizontal="center" vertical="center"/>
      <protection/>
    </xf>
    <xf numFmtId="1" fontId="2" fillId="5" borderId="1" xfId="0" applyNumberFormat="1" applyFont="1" applyFill="1" applyBorder="1" applyAlignment="1" applyProtection="1">
      <alignment horizontal="left" vertical="center"/>
      <protection/>
    </xf>
    <xf numFmtId="2" fontId="1" fillId="5" borderId="1" xfId="0" applyNumberFormat="1" applyFont="1" applyFill="1" applyBorder="1" applyAlignment="1" applyProtection="1">
      <alignment horizontal="center" vertical="center"/>
      <protection/>
    </xf>
    <xf numFmtId="181" fontId="3" fillId="7" borderId="0" xfId="0" applyNumberFormat="1" applyFont="1" applyFill="1" applyAlignment="1" applyProtection="1">
      <alignment horizontal="center" vertical="center"/>
      <protection/>
    </xf>
    <xf numFmtId="0" fontId="14" fillId="7" borderId="0" xfId="0" applyFont="1" applyFill="1" applyAlignment="1" applyProtection="1">
      <alignment vertical="center"/>
      <protection/>
    </xf>
    <xf numFmtId="0" fontId="5" fillId="7" borderId="0" xfId="0" applyFont="1" applyFill="1" applyAlignment="1" applyProtection="1">
      <alignment horizontal="right" vertical="center"/>
      <protection/>
    </xf>
    <xf numFmtId="1" fontId="3" fillId="7" borderId="0" xfId="0" applyNumberFormat="1" applyFont="1" applyFill="1" applyAlignment="1" applyProtection="1">
      <alignment horizontal="center" vertical="center"/>
      <protection/>
    </xf>
    <xf numFmtId="180" fontId="15" fillId="7" borderId="0" xfId="0" applyNumberFormat="1" applyFont="1" applyFill="1" applyAlignment="1" applyProtection="1">
      <alignment horizontal="left" vertical="center"/>
      <protection/>
    </xf>
    <xf numFmtId="1" fontId="1" fillId="7" borderId="0" xfId="0" applyNumberFormat="1" applyFont="1" applyFill="1" applyAlignment="1" applyProtection="1">
      <alignment horizontal="right" vertical="center"/>
      <protection locked="0"/>
    </xf>
    <xf numFmtId="180" fontId="4" fillId="7" borderId="0" xfId="0" applyNumberFormat="1" applyFont="1" applyFill="1" applyAlignment="1" applyProtection="1">
      <alignment horizontal="right" vertical="center"/>
      <protection/>
    </xf>
    <xf numFmtId="2" fontId="4" fillId="7" borderId="0" xfId="0" applyNumberFormat="1" applyFont="1" applyFill="1" applyAlignment="1" applyProtection="1">
      <alignment horizontal="right" vertical="center"/>
      <protection/>
    </xf>
    <xf numFmtId="180" fontId="1" fillId="7" borderId="0" xfId="0" applyNumberFormat="1" applyFont="1" applyFill="1" applyBorder="1" applyAlignment="1" applyProtection="1">
      <alignment horizontal="center" vertical="center"/>
      <protection/>
    </xf>
    <xf numFmtId="180" fontId="17" fillId="7" borderId="0" xfId="0" applyNumberFormat="1" applyFont="1" applyFill="1" applyAlignment="1" applyProtection="1">
      <alignment horizontal="center" vertical="center"/>
      <protection/>
    </xf>
    <xf numFmtId="1" fontId="1" fillId="5" borderId="1" xfId="0" applyNumberFormat="1" applyFont="1" applyFill="1" applyBorder="1" applyAlignment="1" applyProtection="1">
      <alignment horizontal="center" vertical="center"/>
      <protection/>
    </xf>
    <xf numFmtId="180" fontId="1" fillId="7" borderId="0" xfId="0" applyNumberFormat="1" applyFont="1" applyFill="1" applyAlignment="1" applyProtection="1">
      <alignment horizontal="left" vertical="center"/>
      <protection/>
    </xf>
    <xf numFmtId="1" fontId="1" fillId="7" borderId="0" xfId="0" applyNumberFormat="1" applyFont="1" applyFill="1" applyAlignment="1" applyProtection="1">
      <alignment horizontal="left" vertical="center"/>
      <protection/>
    </xf>
    <xf numFmtId="180" fontId="2" fillId="7" borderId="0" xfId="0" applyNumberFormat="1" applyFont="1" applyFill="1" applyAlignment="1" applyProtection="1">
      <alignment vertical="center"/>
      <protection/>
    </xf>
    <xf numFmtId="1" fontId="5" fillId="7" borderId="0" xfId="0" applyNumberFormat="1" applyFont="1" applyFill="1" applyAlignment="1" applyProtection="1">
      <alignment horizontal="right" vertical="center"/>
      <protection/>
    </xf>
    <xf numFmtId="1" fontId="1" fillId="7" borderId="1" xfId="0" applyNumberFormat="1" applyFont="1" applyFill="1" applyBorder="1" applyAlignment="1" applyProtection="1">
      <alignment horizontal="center" vertical="center"/>
      <protection/>
    </xf>
    <xf numFmtId="1" fontId="2" fillId="7" borderId="1" xfId="0" applyNumberFormat="1" applyFont="1" applyFill="1" applyBorder="1" applyAlignment="1" applyProtection="1">
      <alignment horizontal="right" vertical="center"/>
      <protection/>
    </xf>
    <xf numFmtId="180" fontId="2" fillId="5" borderId="1" xfId="0" applyNumberFormat="1" applyFont="1" applyFill="1" applyBorder="1" applyAlignment="1" applyProtection="1">
      <alignment horizontal="left" vertical="center"/>
      <protection/>
    </xf>
    <xf numFmtId="0" fontId="1" fillId="5" borderId="1" xfId="0" applyFont="1" applyFill="1" applyBorder="1" applyAlignment="1" applyProtection="1">
      <alignment horizontal="center" vertical="center"/>
      <protection/>
    </xf>
    <xf numFmtId="2" fontId="2" fillId="5" borderId="1" xfId="0" applyNumberFormat="1" applyFont="1" applyFill="1" applyBorder="1" applyAlignment="1" applyProtection="1">
      <alignment vertical="center"/>
      <protection/>
    </xf>
    <xf numFmtId="0" fontId="15" fillId="7" borderId="0" xfId="0" applyFont="1" applyFill="1" applyAlignment="1" applyProtection="1">
      <alignment vertical="center"/>
      <protection/>
    </xf>
    <xf numFmtId="0" fontId="15" fillId="7" borderId="0" xfId="0" applyFont="1" applyFill="1" applyAlignment="1" applyProtection="1">
      <alignment horizontal="center" vertical="center"/>
      <protection/>
    </xf>
    <xf numFmtId="180" fontId="1" fillId="2" borderId="0" xfId="0" applyNumberFormat="1" applyFont="1" applyFill="1" applyBorder="1" applyAlignment="1" applyProtection="1">
      <alignment horizontal="center" vertical="center"/>
      <protection locked="0"/>
    </xf>
    <xf numFmtId="180" fontId="1" fillId="3" borderId="0" xfId="0" applyNumberFormat="1" applyFont="1" applyFill="1" applyAlignment="1" applyProtection="1">
      <alignment horizontal="center" vertical="center"/>
      <protection locked="0"/>
    </xf>
    <xf numFmtId="2" fontId="4" fillId="6" borderId="0" xfId="0" applyNumberFormat="1" applyFont="1" applyFill="1" applyAlignment="1" applyProtection="1">
      <alignment horizontal="center" vertical="center"/>
      <protection/>
    </xf>
    <xf numFmtId="181" fontId="1" fillId="6" borderId="0" xfId="0" applyNumberFormat="1" applyFont="1" applyFill="1" applyAlignment="1" applyProtection="1">
      <alignment horizontal="center" vertical="center"/>
      <protection/>
    </xf>
    <xf numFmtId="0" fontId="3" fillId="7" borderId="1" xfId="0" applyFont="1" applyFill="1" applyBorder="1" applyAlignment="1" applyProtection="1">
      <alignment horizontal="right" vertical="center"/>
      <protection/>
    </xf>
    <xf numFmtId="0" fontId="2" fillId="7" borderId="1" xfId="0" applyFont="1" applyFill="1" applyBorder="1" applyAlignment="1" applyProtection="1">
      <alignment vertical="center"/>
      <protection/>
    </xf>
    <xf numFmtId="0" fontId="1" fillId="7" borderId="2" xfId="0" applyFont="1" applyFill="1" applyBorder="1" applyAlignment="1" applyProtection="1">
      <alignment horizontal="center" vertical="center"/>
      <protection/>
    </xf>
    <xf numFmtId="181" fontId="1" fillId="7" borderId="2" xfId="0" applyNumberFormat="1" applyFont="1" applyFill="1" applyBorder="1" applyAlignment="1" applyProtection="1">
      <alignment horizontal="center" vertical="center"/>
      <protection/>
    </xf>
    <xf numFmtId="0" fontId="1" fillId="7" borderId="2" xfId="0" applyFont="1" applyFill="1" applyBorder="1" applyAlignment="1" applyProtection="1">
      <alignment vertical="center"/>
      <protection/>
    </xf>
    <xf numFmtId="180" fontId="3" fillId="7" borderId="0" xfId="0" applyNumberFormat="1" applyFont="1" applyFill="1" applyAlignment="1" applyProtection="1">
      <alignment horizontal="right" vertical="center"/>
      <protection/>
    </xf>
    <xf numFmtId="0" fontId="20" fillId="7" borderId="0" xfId="0" applyFont="1" applyFill="1" applyAlignment="1" applyProtection="1">
      <alignment horizontal="center" vertical="center"/>
      <protection/>
    </xf>
    <xf numFmtId="180" fontId="1" fillId="6" borderId="0" xfId="0" applyNumberFormat="1" applyFont="1" applyFill="1" applyAlignment="1" applyProtection="1">
      <alignment horizontal="center" vertical="center"/>
      <protection/>
    </xf>
    <xf numFmtId="2" fontId="1" fillId="6" borderId="0" xfId="0" applyNumberFormat="1" applyFont="1" applyFill="1" applyAlignment="1" applyProtection="1">
      <alignment horizontal="center" vertical="center"/>
      <protection/>
    </xf>
    <xf numFmtId="181" fontId="1" fillId="8" borderId="0" xfId="0" applyNumberFormat="1" applyFont="1" applyFill="1" applyAlignment="1" applyProtection="1">
      <alignment horizontal="center" vertical="center"/>
      <protection/>
    </xf>
    <xf numFmtId="1" fontId="1" fillId="6" borderId="0" xfId="0" applyNumberFormat="1" applyFont="1" applyFill="1" applyAlignment="1" applyProtection="1">
      <alignment horizontal="center" vertical="center"/>
      <protection/>
    </xf>
    <xf numFmtId="2" fontId="14" fillId="7" borderId="0" xfId="0" applyNumberFormat="1" applyFont="1" applyFill="1" applyAlignment="1" applyProtection="1">
      <alignment horizontal="right" vertical="center"/>
      <protection/>
    </xf>
    <xf numFmtId="0" fontId="2" fillId="5" borderId="1" xfId="0" applyFont="1" applyFill="1" applyBorder="1" applyAlignment="1" applyProtection="1">
      <alignment vertical="center"/>
      <protection/>
    </xf>
    <xf numFmtId="0" fontId="13" fillId="7" borderId="0" xfId="0" applyFont="1" applyFill="1" applyAlignment="1" applyProtection="1">
      <alignment horizontal="left" vertical="center"/>
      <protection/>
    </xf>
    <xf numFmtId="180" fontId="2" fillId="7" borderId="0" xfId="0" applyNumberFormat="1" applyFont="1" applyFill="1" applyAlignment="1" applyProtection="1">
      <alignment horizontal="right" vertical="center"/>
      <protection/>
    </xf>
    <xf numFmtId="0" fontId="12" fillId="7" borderId="0" xfId="0" applyFont="1" applyFill="1" applyAlignment="1" applyProtection="1">
      <alignment horizontal="left" vertical="center"/>
      <protection/>
    </xf>
    <xf numFmtId="0" fontId="13" fillId="7" borderId="0" xfId="0" applyFont="1" applyFill="1" applyAlignment="1" applyProtection="1">
      <alignment horizontal="right" vertical="center"/>
      <protection/>
    </xf>
    <xf numFmtId="2" fontId="1" fillId="5" borderId="1" xfId="0" applyNumberFormat="1" applyFont="1" applyFill="1" applyBorder="1" applyAlignment="1" applyProtection="1">
      <alignment horizontal="right" vertical="center"/>
      <protection/>
    </xf>
    <xf numFmtId="0" fontId="1" fillId="7" borderId="3" xfId="0" applyFont="1" applyFill="1" applyBorder="1" applyAlignment="1" applyProtection="1">
      <alignment horizontal="right" vertical="center"/>
      <protection/>
    </xf>
    <xf numFmtId="181" fontId="1" fillId="7" borderId="3" xfId="0" applyNumberFormat="1" applyFont="1" applyFill="1" applyBorder="1" applyAlignment="1" applyProtection="1">
      <alignment horizontal="center" vertical="center"/>
      <protection/>
    </xf>
    <xf numFmtId="0" fontId="4" fillId="5" borderId="1" xfId="0" applyFont="1" applyFill="1" applyBorder="1" applyAlignment="1" applyProtection="1">
      <alignment vertical="center"/>
      <protection/>
    </xf>
    <xf numFmtId="1" fontId="4" fillId="5" borderId="1" xfId="0" applyNumberFormat="1" applyFont="1" applyFill="1" applyBorder="1" applyAlignment="1" applyProtection="1">
      <alignment vertical="center"/>
      <protection/>
    </xf>
    <xf numFmtId="0" fontId="4" fillId="5" borderId="1" xfId="0" applyFont="1" applyFill="1" applyBorder="1" applyAlignment="1" applyProtection="1">
      <alignment horizontal="left" vertical="center"/>
      <protection/>
    </xf>
    <xf numFmtId="180" fontId="5" fillId="7" borderId="0" xfId="0" applyNumberFormat="1" applyFont="1" applyFill="1" applyAlignment="1" applyProtection="1">
      <alignment horizontal="right" vertical="center"/>
      <protection/>
    </xf>
    <xf numFmtId="0" fontId="16" fillId="7" borderId="0" xfId="0" applyFont="1" applyFill="1" applyAlignment="1" applyProtection="1">
      <alignment vertical="center"/>
      <protection/>
    </xf>
    <xf numFmtId="0" fontId="3" fillId="7" borderId="2" xfId="0" applyFont="1" applyFill="1" applyBorder="1" applyAlignment="1" applyProtection="1">
      <alignment horizontal="left" vertical="center"/>
      <protection/>
    </xf>
    <xf numFmtId="180" fontId="1" fillId="7" borderId="2" xfId="0" applyNumberFormat="1" applyFont="1" applyFill="1" applyBorder="1" applyAlignment="1" applyProtection="1">
      <alignment horizontal="right" vertical="center"/>
      <protection/>
    </xf>
    <xf numFmtId="0" fontId="1" fillId="7" borderId="0" xfId="0" applyFont="1" applyFill="1" applyBorder="1" applyAlignment="1" applyProtection="1">
      <alignment horizontal="center" vertical="center"/>
      <protection/>
    </xf>
    <xf numFmtId="181" fontId="4" fillId="7" borderId="0" xfId="0" applyNumberFormat="1" applyFont="1" applyFill="1" applyBorder="1" applyAlignment="1" applyProtection="1">
      <alignment horizontal="center" vertical="center"/>
      <protection/>
    </xf>
    <xf numFmtId="1" fontId="1" fillId="7" borderId="0" xfId="0" applyNumberFormat="1" applyFont="1" applyFill="1" applyBorder="1" applyAlignment="1" applyProtection="1">
      <alignment horizontal="center" vertical="center"/>
      <protection/>
    </xf>
    <xf numFmtId="181" fontId="1" fillId="7" borderId="0" xfId="0" applyNumberFormat="1" applyFont="1" applyFill="1" applyBorder="1" applyAlignment="1" applyProtection="1">
      <alignment horizontal="center" vertical="center"/>
      <protection/>
    </xf>
    <xf numFmtId="2" fontId="4" fillId="7" borderId="0" xfId="0" applyNumberFormat="1" applyFont="1" applyFill="1" applyBorder="1" applyAlignment="1" applyProtection="1">
      <alignment horizontal="center" vertical="center"/>
      <protection/>
    </xf>
    <xf numFmtId="0" fontId="4" fillId="7" borderId="0" xfId="0" applyFont="1" applyFill="1" applyAlignment="1" applyProtection="1">
      <alignment vertical="center"/>
      <protection/>
    </xf>
    <xf numFmtId="0" fontId="1" fillId="7" borderId="4" xfId="0" applyFont="1" applyFill="1" applyBorder="1" applyAlignment="1" applyProtection="1">
      <alignment horizontal="center" vertical="center"/>
      <protection/>
    </xf>
    <xf numFmtId="2" fontId="1" fillId="7" borderId="4" xfId="0" applyNumberFormat="1" applyFont="1" applyFill="1" applyBorder="1" applyAlignment="1" applyProtection="1">
      <alignment horizontal="center" vertical="center"/>
      <protection/>
    </xf>
    <xf numFmtId="0" fontId="2" fillId="7" borderId="0" xfId="0" applyFont="1" applyFill="1" applyAlignment="1" applyProtection="1">
      <alignment horizontal="left" vertical="center"/>
      <protection/>
    </xf>
    <xf numFmtId="188" fontId="1" fillId="7" borderId="0" xfId="0" applyNumberFormat="1" applyFont="1" applyFill="1" applyAlignment="1" applyProtection="1">
      <alignment horizontal="center" vertical="center"/>
      <protection/>
    </xf>
    <xf numFmtId="181" fontId="1" fillId="9" borderId="0" xfId="0" applyNumberFormat="1" applyFont="1" applyFill="1" applyAlignment="1" applyProtection="1">
      <alignment horizontal="center" vertical="center"/>
      <protection/>
    </xf>
    <xf numFmtId="181" fontId="1" fillId="10" borderId="0" xfId="0" applyNumberFormat="1" applyFont="1" applyFill="1" applyAlignment="1" applyProtection="1">
      <alignment horizontal="center" vertical="center"/>
      <protection/>
    </xf>
    <xf numFmtId="1" fontId="1" fillId="10" borderId="0" xfId="0" applyNumberFormat="1" applyFont="1" applyFill="1" applyAlignment="1" applyProtection="1">
      <alignment horizontal="center" vertical="center"/>
      <protection/>
    </xf>
    <xf numFmtId="0" fontId="1" fillId="7" borderId="5" xfId="0" applyFont="1" applyFill="1" applyBorder="1" applyAlignment="1" applyProtection="1">
      <alignment horizontal="center" vertical="center"/>
      <protection/>
    </xf>
    <xf numFmtId="2" fontId="1" fillId="7" borderId="2" xfId="0" applyNumberFormat="1" applyFont="1" applyFill="1" applyBorder="1" applyAlignment="1" applyProtection="1">
      <alignment horizontal="center" vertical="center"/>
      <protection/>
    </xf>
    <xf numFmtId="2" fontId="1" fillId="7" borderId="5" xfId="0" applyNumberFormat="1" applyFont="1" applyFill="1" applyBorder="1" applyAlignment="1" applyProtection="1">
      <alignment horizontal="center" vertical="center"/>
      <protection/>
    </xf>
    <xf numFmtId="181" fontId="1" fillId="7" borderId="5" xfId="0" applyNumberFormat="1" applyFont="1" applyFill="1" applyBorder="1" applyAlignment="1" applyProtection="1">
      <alignment horizontal="center" vertical="center"/>
      <protection/>
    </xf>
    <xf numFmtId="1" fontId="1" fillId="7" borderId="5" xfId="0" applyNumberFormat="1" applyFont="1" applyFill="1" applyBorder="1" applyAlignment="1" applyProtection="1">
      <alignment horizontal="center" vertical="center"/>
      <protection/>
    </xf>
    <xf numFmtId="1" fontId="1" fillId="7" borderId="2" xfId="0" applyNumberFormat="1" applyFont="1" applyFill="1" applyBorder="1" applyAlignment="1" applyProtection="1">
      <alignment horizontal="center" vertical="center"/>
      <protection/>
    </xf>
    <xf numFmtId="1" fontId="1" fillId="3" borderId="0" xfId="0" applyNumberFormat="1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1" fontId="4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0" xfId="0" applyNumberFormat="1" applyFont="1" applyFill="1" applyAlignment="1" applyProtection="1">
      <alignment horizontal="center" vertical="center"/>
      <protection locked="0"/>
    </xf>
    <xf numFmtId="0" fontId="1" fillId="7" borderId="6" xfId="0" applyFont="1" applyFill="1" applyBorder="1" applyAlignment="1" applyProtection="1">
      <alignment vertical="center"/>
      <protection/>
    </xf>
    <xf numFmtId="0" fontId="1" fillId="7" borderId="7" xfId="0" applyFont="1" applyFill="1" applyBorder="1" applyAlignment="1" applyProtection="1">
      <alignment horizontal="right" vertical="center"/>
      <protection/>
    </xf>
    <xf numFmtId="0" fontId="1" fillId="7" borderId="2" xfId="0" applyFont="1" applyFill="1" applyBorder="1" applyAlignment="1" applyProtection="1">
      <alignment horizontal="right" vertical="center"/>
      <protection/>
    </xf>
    <xf numFmtId="0" fontId="1" fillId="7" borderId="8" xfId="0" applyFont="1" applyFill="1" applyBorder="1" applyAlignment="1" applyProtection="1">
      <alignment horizontal="right" vertical="center"/>
      <protection/>
    </xf>
    <xf numFmtId="2" fontId="1" fillId="7" borderId="9" xfId="0" applyNumberFormat="1" applyFont="1" applyFill="1" applyBorder="1" applyAlignment="1" applyProtection="1">
      <alignment horizontal="center" vertical="center"/>
      <protection/>
    </xf>
    <xf numFmtId="0" fontId="2" fillId="7" borderId="0" xfId="0" applyFont="1" applyFill="1" applyBorder="1" applyAlignment="1" applyProtection="1">
      <alignment horizontal="right" vertical="center"/>
      <protection/>
    </xf>
    <xf numFmtId="0" fontId="4" fillId="7" borderId="0" xfId="0" applyFont="1" applyFill="1" applyBorder="1" applyAlignment="1" applyProtection="1">
      <alignment horizontal="left" vertical="center"/>
      <protection/>
    </xf>
    <xf numFmtId="0" fontId="4" fillId="7" borderId="0" xfId="0" applyFont="1" applyFill="1" applyBorder="1" applyAlignment="1" applyProtection="1">
      <alignment vertical="center"/>
      <protection/>
    </xf>
    <xf numFmtId="0" fontId="1" fillId="7" borderId="0" xfId="0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7" borderId="0" xfId="0" applyFont="1" applyFill="1" applyBorder="1" applyAlignment="1" applyProtection="1">
      <alignment horizontal="right" vertical="center"/>
      <protection/>
    </xf>
    <xf numFmtId="0" fontId="2" fillId="7" borderId="0" xfId="0" applyFont="1" applyFill="1" applyBorder="1" applyAlignment="1" applyProtection="1">
      <alignment horizontal="left" vertical="center"/>
      <protection/>
    </xf>
    <xf numFmtId="1" fontId="2" fillId="7" borderId="0" xfId="0" applyNumberFormat="1" applyFont="1" applyFill="1" applyBorder="1" applyAlignment="1" applyProtection="1">
      <alignment horizontal="left" vertical="center"/>
      <protection/>
    </xf>
    <xf numFmtId="180" fontId="1" fillId="7" borderId="0" xfId="0" applyNumberFormat="1" applyFont="1" applyFill="1" applyBorder="1" applyAlignment="1" applyProtection="1">
      <alignment horizontal="right" vertical="center"/>
      <protection/>
    </xf>
    <xf numFmtId="0" fontId="1" fillId="7" borderId="0" xfId="0" applyFont="1" applyFill="1" applyBorder="1" applyAlignment="1" applyProtection="1">
      <alignment vertical="center"/>
      <protection/>
    </xf>
    <xf numFmtId="180" fontId="2" fillId="7" borderId="0" xfId="0" applyNumberFormat="1" applyFont="1" applyFill="1" applyBorder="1" applyAlignment="1" applyProtection="1">
      <alignment vertical="center"/>
      <protection/>
    </xf>
    <xf numFmtId="1" fontId="1" fillId="7" borderId="0" xfId="0" applyNumberFormat="1" applyFont="1" applyFill="1" applyBorder="1" applyAlignment="1" applyProtection="1">
      <alignment horizontal="right" vertical="center"/>
      <protection/>
    </xf>
    <xf numFmtId="0" fontId="2" fillId="7" borderId="0" xfId="0" applyFont="1" applyFill="1" applyBorder="1" applyAlignment="1" applyProtection="1">
      <alignment vertical="center"/>
      <protection/>
    </xf>
    <xf numFmtId="1" fontId="1" fillId="7" borderId="10" xfId="0" applyNumberFormat="1" applyFont="1" applyFill="1" applyBorder="1" applyAlignment="1" applyProtection="1">
      <alignment horizontal="center" vertical="center"/>
      <protection/>
    </xf>
    <xf numFmtId="1" fontId="1" fillId="7" borderId="11" xfId="0" applyNumberFormat="1" applyFont="1" applyFill="1" applyBorder="1" applyAlignment="1" applyProtection="1">
      <alignment horizontal="center" vertical="center"/>
      <protection/>
    </xf>
    <xf numFmtId="1" fontId="4" fillId="7" borderId="5" xfId="0" applyNumberFormat="1" applyFont="1" applyFill="1" applyBorder="1" applyAlignment="1" applyProtection="1">
      <alignment horizontal="center" vertical="center"/>
      <protection/>
    </xf>
    <xf numFmtId="180" fontId="1" fillId="7" borderId="2" xfId="0" applyNumberFormat="1" applyFont="1" applyFill="1" applyBorder="1" applyAlignment="1" applyProtection="1">
      <alignment horizontal="center" vertical="center"/>
      <protection/>
    </xf>
    <xf numFmtId="2" fontId="1" fillId="3" borderId="5" xfId="0" applyNumberFormat="1" applyFont="1" applyFill="1" applyBorder="1" applyAlignment="1" applyProtection="1">
      <alignment horizontal="center" vertical="center"/>
      <protection locked="0"/>
    </xf>
    <xf numFmtId="188" fontId="1" fillId="7" borderId="1" xfId="0" applyNumberFormat="1" applyFont="1" applyFill="1" applyBorder="1" applyAlignment="1" applyProtection="1">
      <alignment horizontal="center" vertical="center"/>
      <protection/>
    </xf>
    <xf numFmtId="1" fontId="1" fillId="7" borderId="2" xfId="0" applyNumberFormat="1" applyFont="1" applyFill="1" applyBorder="1" applyAlignment="1" applyProtection="1">
      <alignment horizontal="right" vertical="center"/>
      <protection/>
    </xf>
    <xf numFmtId="0" fontId="1" fillId="7" borderId="8" xfId="0" applyFont="1" applyFill="1" applyBorder="1" applyAlignment="1" applyProtection="1">
      <alignment vertical="center"/>
      <protection/>
    </xf>
    <xf numFmtId="0" fontId="21" fillId="7" borderId="0" xfId="0" applyFont="1" applyFill="1" applyAlignment="1" applyProtection="1">
      <alignment horizontal="left" vertical="center"/>
      <protection/>
    </xf>
    <xf numFmtId="181" fontId="1" fillId="6" borderId="1" xfId="0" applyNumberFormat="1" applyFont="1" applyFill="1" applyBorder="1" applyAlignment="1" applyProtection="1">
      <alignment horizontal="center" vertical="center"/>
      <protection/>
    </xf>
    <xf numFmtId="0" fontId="3" fillId="4" borderId="0" xfId="0" applyFont="1" applyFill="1" applyAlignment="1" applyProtection="1">
      <alignment horizontal="center" vertical="center"/>
      <protection/>
    </xf>
    <xf numFmtId="0" fontId="4" fillId="7" borderId="0" xfId="0" applyFont="1" applyFill="1" applyAlignment="1" applyProtection="1">
      <alignment horizontal="center" vertical="center"/>
      <protection/>
    </xf>
    <xf numFmtId="2" fontId="4" fillId="7" borderId="2" xfId="0" applyNumberFormat="1" applyFont="1" applyFill="1" applyBorder="1" applyAlignment="1" applyProtection="1">
      <alignment horizontal="center" vertical="center"/>
      <protection/>
    </xf>
    <xf numFmtId="180" fontId="1" fillId="7" borderId="1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Alignment="1" applyProtection="1">
      <alignment horizontal="center" vertical="center"/>
      <protection/>
    </xf>
    <xf numFmtId="1" fontId="1" fillId="7" borderId="1" xfId="0" applyNumberFormat="1" applyFont="1" applyFill="1" applyBorder="1" applyAlignment="1" applyProtection="1">
      <alignment horizontal="right" vertical="center"/>
      <protection/>
    </xf>
    <xf numFmtId="2" fontId="4" fillId="11" borderId="1" xfId="0" applyNumberFormat="1" applyFont="1" applyFill="1" applyBorder="1" applyAlignment="1" applyProtection="1">
      <alignment horizontal="center" vertical="center"/>
      <protection/>
    </xf>
    <xf numFmtId="2" fontId="4" fillId="11" borderId="0" xfId="0" applyNumberFormat="1" applyFont="1" applyFill="1" applyAlignment="1" applyProtection="1">
      <alignment horizontal="center" vertical="center"/>
      <protection/>
    </xf>
    <xf numFmtId="0" fontId="22" fillId="7" borderId="0" xfId="0" applyFont="1" applyFill="1" applyAlignment="1" applyProtection="1">
      <alignment horizontal="right" vertical="center"/>
      <protection/>
    </xf>
    <xf numFmtId="2" fontId="21" fillId="7" borderId="2" xfId="0" applyNumberFormat="1" applyFont="1" applyFill="1" applyBorder="1" applyAlignment="1" applyProtection="1">
      <alignment horizontal="center" vertical="center"/>
      <protection/>
    </xf>
    <xf numFmtId="0" fontId="3" fillId="7" borderId="1" xfId="0" applyFont="1" applyFill="1" applyBorder="1" applyAlignment="1" applyProtection="1">
      <alignment horizontal="left" vertical="center"/>
      <protection/>
    </xf>
    <xf numFmtId="0" fontId="3" fillId="7" borderId="0" xfId="0" applyFont="1" applyFill="1" applyBorder="1" applyAlignment="1" applyProtection="1">
      <alignment horizontal="left" vertical="center"/>
      <protection/>
    </xf>
    <xf numFmtId="0" fontId="5" fillId="7" borderId="2" xfId="0" applyFont="1" applyFill="1" applyBorder="1" applyAlignment="1" applyProtection="1">
      <alignment horizontal="center" vertical="center"/>
      <protection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181" fontId="3" fillId="7" borderId="8" xfId="0" applyNumberFormat="1" applyFont="1" applyFill="1" applyBorder="1" applyAlignment="1" applyProtection="1">
      <alignment horizontal="center" vertical="center"/>
      <protection/>
    </xf>
    <xf numFmtId="0" fontId="1" fillId="7" borderId="6" xfId="0" applyFont="1" applyFill="1" applyBorder="1" applyAlignment="1" applyProtection="1">
      <alignment horizontal="center" vertical="center"/>
      <protection/>
    </xf>
    <xf numFmtId="181" fontId="3" fillId="7" borderId="2" xfId="0" applyNumberFormat="1" applyFont="1" applyFill="1" applyBorder="1" applyAlignment="1" applyProtection="1">
      <alignment horizontal="center" vertical="center"/>
      <protection/>
    </xf>
    <xf numFmtId="0" fontId="5" fillId="7" borderId="6" xfId="0" applyFont="1" applyFill="1" applyBorder="1" applyAlignment="1" applyProtection="1">
      <alignment horizontal="center" vertical="center"/>
      <protection/>
    </xf>
    <xf numFmtId="181" fontId="1" fillId="7" borderId="0" xfId="0" applyNumberFormat="1" applyFont="1" applyFill="1" applyAlignment="1" applyProtection="1">
      <alignment vertical="center"/>
      <protection/>
    </xf>
    <xf numFmtId="180" fontId="1" fillId="9" borderId="0" xfId="0" applyNumberFormat="1" applyFont="1" applyFill="1" applyAlignment="1" applyProtection="1">
      <alignment horizontal="center" vertical="center"/>
      <protection/>
    </xf>
    <xf numFmtId="0" fontId="2" fillId="12" borderId="1" xfId="0" applyFont="1" applyFill="1" applyBorder="1" applyAlignment="1" applyProtection="1">
      <alignment horizontal="left" vertical="center"/>
      <protection/>
    </xf>
    <xf numFmtId="2" fontId="21" fillId="7" borderId="0" xfId="0" applyNumberFormat="1" applyFont="1" applyFill="1" applyBorder="1" applyAlignment="1" applyProtection="1">
      <alignment horizontal="center" vertical="center"/>
      <protection/>
    </xf>
    <xf numFmtId="0" fontId="23" fillId="7" borderId="0" xfId="0" applyFont="1" applyFill="1" applyAlignment="1" applyProtection="1">
      <alignment vertical="center"/>
      <protection/>
    </xf>
    <xf numFmtId="184" fontId="14" fillId="7" borderId="0" xfId="0" applyNumberFormat="1" applyFont="1" applyFill="1" applyAlignment="1" applyProtection="1">
      <alignment horizontal="left" vertical="center"/>
      <protection/>
    </xf>
    <xf numFmtId="0" fontId="14" fillId="7" borderId="0" xfId="0" applyFont="1" applyFill="1" applyAlignment="1" applyProtection="1">
      <alignment horizontal="left" vertical="center"/>
      <protection/>
    </xf>
    <xf numFmtId="180" fontId="4" fillId="13" borderId="0" xfId="0" applyNumberFormat="1" applyFont="1" applyFill="1" applyAlignment="1" applyProtection="1">
      <alignment horizontal="right" vertical="center"/>
      <protection/>
    </xf>
    <xf numFmtId="2" fontId="4" fillId="6" borderId="0" xfId="0" applyNumberFormat="1" applyFont="1" applyFill="1" applyBorder="1" applyAlignment="1" applyProtection="1">
      <alignment horizontal="center" vertical="center"/>
      <protection/>
    </xf>
    <xf numFmtId="181" fontId="4" fillId="6" borderId="0" xfId="0" applyNumberFormat="1" applyFont="1" applyFill="1" applyBorder="1" applyAlignment="1" applyProtection="1">
      <alignment horizontal="center" vertical="center"/>
      <protection/>
    </xf>
    <xf numFmtId="0" fontId="5" fillId="7" borderId="0" xfId="0" applyFont="1" applyFill="1" applyBorder="1" applyAlignment="1" applyProtection="1">
      <alignment horizontal="center" vertical="center"/>
      <protection/>
    </xf>
    <xf numFmtId="0" fontId="3" fillId="7" borderId="3" xfId="0" applyFont="1" applyFill="1" applyBorder="1" applyAlignment="1" applyProtection="1">
      <alignment horizontal="left" vertical="center"/>
      <protection/>
    </xf>
    <xf numFmtId="0" fontId="1" fillId="7" borderId="7" xfId="0" applyFont="1" applyFill="1" applyBorder="1" applyAlignment="1" applyProtection="1">
      <alignment horizontal="center" vertical="center"/>
      <protection/>
    </xf>
    <xf numFmtId="0" fontId="1" fillId="7" borderId="12" xfId="0" applyFont="1" applyFill="1" applyBorder="1" applyAlignment="1" applyProtection="1">
      <alignment horizontal="center" vertical="center"/>
      <protection/>
    </xf>
    <xf numFmtId="181" fontId="3" fillId="7" borderId="4" xfId="0" applyNumberFormat="1" applyFont="1" applyFill="1" applyBorder="1" applyAlignment="1" applyProtection="1">
      <alignment horizontal="center" vertical="center"/>
      <protection/>
    </xf>
    <xf numFmtId="181" fontId="3" fillId="7" borderId="5" xfId="0" applyNumberFormat="1" applyFont="1" applyFill="1" applyBorder="1" applyAlignment="1" applyProtection="1">
      <alignment horizontal="center" vertical="center"/>
      <protection/>
    </xf>
    <xf numFmtId="180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" fillId="7" borderId="5" xfId="0" applyFont="1" applyFill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vertical="center"/>
      <protection/>
    </xf>
    <xf numFmtId="180" fontId="1" fillId="7" borderId="5" xfId="0" applyNumberFormat="1" applyFont="1" applyFill="1" applyBorder="1" applyAlignment="1" applyProtection="1">
      <alignment horizontal="center" vertical="center"/>
      <protection/>
    </xf>
    <xf numFmtId="18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3" fillId="7" borderId="2" xfId="0" applyFont="1" applyFill="1" applyBorder="1" applyAlignment="1" applyProtection="1">
      <alignment horizontal="center" vertical="center"/>
      <protection/>
    </xf>
    <xf numFmtId="0" fontId="1" fillId="6" borderId="2" xfId="0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0000FF"/>
      </font>
      <border/>
    </dxf>
    <dxf>
      <font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9"/>
  <sheetViews>
    <sheetView tabSelected="1" zoomScale="130" zoomScaleNormal="130" workbookViewId="0" topLeftCell="A1">
      <selection activeCell="A1" sqref="A1"/>
    </sheetView>
  </sheetViews>
  <sheetFormatPr defaultColWidth="11.421875" defaultRowHeight="12" customHeight="1"/>
  <cols>
    <col min="1" max="1" width="3.7109375" style="8" customWidth="1"/>
    <col min="2" max="2" width="27.7109375" style="8" customWidth="1"/>
    <col min="3" max="10" width="7.8515625" style="8" customWidth="1"/>
    <col min="11" max="16384" width="11.57421875" style="8" customWidth="1"/>
  </cols>
  <sheetData>
    <row r="1" spans="1:10" ht="12" customHeight="1">
      <c r="A1" s="28">
        <v>1</v>
      </c>
      <c r="B1" s="32" t="s">
        <v>95</v>
      </c>
      <c r="C1" s="33" t="s">
        <v>0</v>
      </c>
      <c r="D1" s="33" t="s">
        <v>1</v>
      </c>
      <c r="E1" s="33" t="s">
        <v>2</v>
      </c>
      <c r="F1" s="33" t="s">
        <v>3</v>
      </c>
      <c r="G1" s="33" t="s">
        <v>4</v>
      </c>
      <c r="H1" s="33" t="s">
        <v>5</v>
      </c>
      <c r="I1" s="34" t="s">
        <v>6</v>
      </c>
      <c r="J1" s="33" t="s">
        <v>10</v>
      </c>
    </row>
    <row r="2" spans="1:10" ht="12" customHeight="1">
      <c r="A2" s="28">
        <v>2</v>
      </c>
      <c r="B2" s="35" t="s">
        <v>11</v>
      </c>
      <c r="C2" s="36" t="s">
        <v>12</v>
      </c>
      <c r="D2" s="36" t="s">
        <v>40</v>
      </c>
      <c r="E2" s="36" t="s">
        <v>42</v>
      </c>
      <c r="F2" s="112" t="s">
        <v>119</v>
      </c>
      <c r="G2" s="36" t="s">
        <v>58</v>
      </c>
      <c r="H2" s="36" t="s">
        <v>59</v>
      </c>
      <c r="I2" s="200" t="s">
        <v>121</v>
      </c>
      <c r="J2" s="36" t="s">
        <v>326</v>
      </c>
    </row>
    <row r="3" spans="1:10" ht="12" customHeight="1">
      <c r="A3" s="28">
        <v>3</v>
      </c>
      <c r="B3" s="38" t="s">
        <v>173</v>
      </c>
      <c r="C3" s="1">
        <v>20</v>
      </c>
      <c r="D3" s="2">
        <v>20</v>
      </c>
      <c r="E3" s="39">
        <f>(C3*1000000)/(SQRT(3)*(D3*1000))</f>
        <v>577.3502691896258</v>
      </c>
      <c r="F3" s="201">
        <v>10</v>
      </c>
      <c r="G3" s="40">
        <f>J3/(C3*10)</f>
        <v>0.4</v>
      </c>
      <c r="H3" s="40">
        <f>SQRT(F3^2-G3^2)</f>
        <v>9.991996797437437</v>
      </c>
      <c r="I3" s="151">
        <f>ACOS(I5)*180/PI()</f>
        <v>87.70755722404412</v>
      </c>
      <c r="J3" s="7">
        <v>80</v>
      </c>
    </row>
    <row r="4" spans="1:10" ht="12" customHeight="1">
      <c r="A4" s="28">
        <v>4</v>
      </c>
      <c r="B4" s="41">
        <v>160539</v>
      </c>
      <c r="C4" s="36" t="s">
        <v>13</v>
      </c>
      <c r="D4" s="36" t="s">
        <v>14</v>
      </c>
      <c r="E4" s="36" t="s">
        <v>15</v>
      </c>
      <c r="F4" s="112" t="s">
        <v>16</v>
      </c>
      <c r="G4" s="36" t="s">
        <v>17</v>
      </c>
      <c r="H4" s="36" t="s">
        <v>18</v>
      </c>
      <c r="I4" s="112" t="s">
        <v>122</v>
      </c>
      <c r="J4" s="36" t="s">
        <v>123</v>
      </c>
    </row>
    <row r="5" spans="1:10" ht="12" customHeight="1">
      <c r="A5" s="28">
        <v>5</v>
      </c>
      <c r="B5" s="42" t="s">
        <v>386</v>
      </c>
      <c r="C5" s="43">
        <f>((F3/100)*D3*1000)/(E3*SQRT(3))</f>
        <v>2</v>
      </c>
      <c r="D5" s="44">
        <f>C5*(G3/F3)</f>
        <v>0.08</v>
      </c>
      <c r="E5" s="44">
        <f>C5*(H3/F3)</f>
        <v>1.9983993594874874</v>
      </c>
      <c r="F5" s="113">
        <f>C5*E3</f>
        <v>1154.7005383792516</v>
      </c>
      <c r="G5" s="39">
        <f>D5*E3</f>
        <v>46.188021535170066</v>
      </c>
      <c r="H5" s="39">
        <f>E3*E5</f>
        <v>1153.7764081484765</v>
      </c>
      <c r="I5" s="181">
        <f>G3/F3</f>
        <v>0.04</v>
      </c>
      <c r="J5" s="45">
        <f>H3/F3</f>
        <v>0.9991996797437437</v>
      </c>
    </row>
    <row r="6" spans="1:11" ht="12" customHeight="1">
      <c r="A6" s="28">
        <v>6</v>
      </c>
      <c r="B6" s="41"/>
      <c r="C6" s="46"/>
      <c r="D6" s="46"/>
      <c r="E6" s="47" t="s">
        <v>328</v>
      </c>
      <c r="F6" s="202">
        <f>SQRT(3)*F5</f>
        <v>2000</v>
      </c>
      <c r="G6" s="84">
        <f>SQRT(3)*G5</f>
        <v>80</v>
      </c>
      <c r="H6" s="84">
        <f>SQRT(3)*H5</f>
        <v>1998.3993594874873</v>
      </c>
      <c r="I6" s="163"/>
      <c r="J6" s="49"/>
      <c r="K6" s="12"/>
    </row>
    <row r="7" spans="1:10" ht="12" customHeight="1">
      <c r="A7" s="28">
        <v>7</v>
      </c>
      <c r="B7" s="35" t="s">
        <v>19</v>
      </c>
      <c r="C7" s="65" t="s">
        <v>20</v>
      </c>
      <c r="D7" s="65" t="s">
        <v>41</v>
      </c>
      <c r="E7" s="65" t="s">
        <v>43</v>
      </c>
      <c r="F7" s="203" t="s">
        <v>120</v>
      </c>
      <c r="G7" s="65" t="s">
        <v>60</v>
      </c>
      <c r="H7" s="65" t="s">
        <v>61</v>
      </c>
      <c r="I7" s="205" t="s">
        <v>124</v>
      </c>
      <c r="J7" s="65" t="s">
        <v>327</v>
      </c>
    </row>
    <row r="8" spans="1:10" ht="12" customHeight="1">
      <c r="A8" s="28">
        <v>8</v>
      </c>
      <c r="B8" s="38" t="s">
        <v>173</v>
      </c>
      <c r="C8" s="1">
        <v>20</v>
      </c>
      <c r="D8" s="49">
        <f>D3</f>
        <v>20</v>
      </c>
      <c r="E8" s="39">
        <f>(C8*1000000)/(SQRT(3)*(D8*1000))</f>
        <v>577.3502691896258</v>
      </c>
      <c r="F8" s="201">
        <v>12</v>
      </c>
      <c r="G8" s="40">
        <f>J8/(C8*10)</f>
        <v>0.45</v>
      </c>
      <c r="H8" s="40">
        <f>SQRT(F8^2-G8^2)</f>
        <v>11.991559531603887</v>
      </c>
      <c r="I8" s="151">
        <f>ACOS(I10)*180/PI()</f>
        <v>87.85090437313598</v>
      </c>
      <c r="J8" s="7">
        <v>90</v>
      </c>
    </row>
    <row r="9" spans="1:10" ht="12" customHeight="1">
      <c r="A9" s="28">
        <v>9</v>
      </c>
      <c r="B9" s="42"/>
      <c r="C9" s="36" t="s">
        <v>21</v>
      </c>
      <c r="D9" s="36" t="s">
        <v>22</v>
      </c>
      <c r="E9" s="36" t="s">
        <v>23</v>
      </c>
      <c r="F9" s="112" t="s">
        <v>24</v>
      </c>
      <c r="G9" s="36" t="s">
        <v>25</v>
      </c>
      <c r="H9" s="36" t="s">
        <v>26</v>
      </c>
      <c r="I9" s="112" t="s">
        <v>125</v>
      </c>
      <c r="J9" s="36" t="s">
        <v>126</v>
      </c>
    </row>
    <row r="10" spans="1:10" ht="12" customHeight="1">
      <c r="A10" s="28">
        <v>10</v>
      </c>
      <c r="B10" s="42" t="s">
        <v>386</v>
      </c>
      <c r="C10" s="43">
        <f>((F8/100)*D8*1000)/(E8*SQRT(3))</f>
        <v>2.4</v>
      </c>
      <c r="D10" s="44">
        <f>C10*(G8/F8)</f>
        <v>0.09</v>
      </c>
      <c r="E10" s="44">
        <f>C10*(H8/F8)</f>
        <v>2.398311906320777</v>
      </c>
      <c r="F10" s="113">
        <f>C10*E8</f>
        <v>1385.6406460551018</v>
      </c>
      <c r="G10" s="39">
        <f>D10*E8</f>
        <v>51.96152422706632</v>
      </c>
      <c r="H10" s="39">
        <f>E8*E10</f>
        <v>1384.6660247149853</v>
      </c>
      <c r="I10" s="181">
        <f>G8/F8</f>
        <v>0.0375</v>
      </c>
      <c r="J10" s="45">
        <f>H8/F8</f>
        <v>0.9992966276336572</v>
      </c>
    </row>
    <row r="11" spans="1:10" ht="12" customHeight="1">
      <c r="A11" s="28">
        <v>11</v>
      </c>
      <c r="B11" s="41"/>
      <c r="C11" s="46"/>
      <c r="D11" s="46"/>
      <c r="E11" s="47" t="s">
        <v>328</v>
      </c>
      <c r="F11" s="204">
        <f>SQRT(3)*F10</f>
        <v>2400</v>
      </c>
      <c r="G11" s="84">
        <f>SQRT(3)*G10</f>
        <v>90</v>
      </c>
      <c r="H11" s="84">
        <f>SQRT(3)*H10</f>
        <v>2398.3119063207773</v>
      </c>
      <c r="I11" s="181"/>
      <c r="J11" s="45"/>
    </row>
    <row r="12" spans="1:10" ht="12" customHeight="1">
      <c r="A12" s="28">
        <v>12</v>
      </c>
      <c r="C12" s="141"/>
      <c r="D12" s="92"/>
      <c r="E12" s="92"/>
      <c r="F12" s="140"/>
      <c r="G12" s="140"/>
      <c r="H12" s="140"/>
      <c r="I12" s="168"/>
      <c r="J12" s="49"/>
    </row>
    <row r="13" spans="1:10" ht="12" customHeight="1">
      <c r="A13" s="28">
        <v>13</v>
      </c>
      <c r="B13" s="171" t="s">
        <v>353</v>
      </c>
      <c r="C13" s="36" t="s">
        <v>115</v>
      </c>
      <c r="D13" s="36" t="s">
        <v>116</v>
      </c>
      <c r="E13" s="36" t="s">
        <v>117</v>
      </c>
      <c r="F13" s="36" t="s">
        <v>52</v>
      </c>
      <c r="G13" s="36" t="s">
        <v>62</v>
      </c>
      <c r="H13" s="36" t="s">
        <v>289</v>
      </c>
      <c r="I13" s="36" t="s">
        <v>63</v>
      </c>
      <c r="J13" s="36" t="s">
        <v>64</v>
      </c>
    </row>
    <row r="14" spans="1:10" ht="12" customHeight="1">
      <c r="A14" s="28">
        <v>14</v>
      </c>
      <c r="B14" s="48" t="s">
        <v>134</v>
      </c>
      <c r="C14" s="109">
        <f>C3*H14/F3</f>
        <v>20</v>
      </c>
      <c r="D14" s="109">
        <f>C8*H14/F8</f>
        <v>16.666666666666668</v>
      </c>
      <c r="E14" s="109">
        <f>C14+D14</f>
        <v>36.66666666666667</v>
      </c>
      <c r="F14" s="40">
        <f>C3/C8</f>
        <v>1</v>
      </c>
      <c r="G14" s="40">
        <f>AVERAGE(F3,F8)</f>
        <v>11</v>
      </c>
      <c r="H14" s="39">
        <f>MIN(F3,F8)</f>
        <v>10</v>
      </c>
      <c r="I14" s="40">
        <f>H14/F3</f>
        <v>1</v>
      </c>
      <c r="J14" s="40">
        <f>H14/F8</f>
        <v>0.8333333333333334</v>
      </c>
    </row>
    <row r="15" spans="1:10" ht="12" customHeight="1">
      <c r="A15" s="28">
        <v>15</v>
      </c>
      <c r="B15" s="48" t="s">
        <v>357</v>
      </c>
      <c r="C15" s="40">
        <f>F3/G14</f>
        <v>0.9090909090909091</v>
      </c>
      <c r="D15" s="40">
        <f>F8/G14</f>
        <v>1.0909090909090908</v>
      </c>
      <c r="E15" s="41"/>
      <c r="F15" s="41"/>
      <c r="G15" s="41"/>
      <c r="H15" s="39"/>
      <c r="I15" s="160"/>
      <c r="J15" s="161" t="s">
        <v>191</v>
      </c>
    </row>
    <row r="16" spans="1:13" ht="12" customHeight="1">
      <c r="A16" s="28">
        <v>16</v>
      </c>
      <c r="B16" s="51" t="s">
        <v>49</v>
      </c>
      <c r="C16" s="39">
        <f>((H14/F3)-1)*100</f>
        <v>0</v>
      </c>
      <c r="D16" s="39">
        <f>((H14/F8)-1)*100</f>
        <v>-16.666666666666664</v>
      </c>
      <c r="E16" s="39">
        <f>(H17-1)*100</f>
        <v>-8.333333333333325</v>
      </c>
      <c r="F16" s="52" t="s">
        <v>96</v>
      </c>
      <c r="G16" s="41"/>
      <c r="H16" s="41"/>
      <c r="I16" s="162" t="s">
        <v>345</v>
      </c>
      <c r="J16" s="144">
        <f>(D3*1000)^2/(C3*1000000)</f>
        <v>20</v>
      </c>
      <c r="K16" s="14"/>
      <c r="L16" s="14"/>
      <c r="M16" s="17"/>
    </row>
    <row r="17" spans="1:10" ht="12" customHeight="1">
      <c r="A17" s="28">
        <v>17</v>
      </c>
      <c r="B17" s="48" t="s">
        <v>135</v>
      </c>
      <c r="C17" s="109">
        <f>C3*H17</f>
        <v>18.333333333333336</v>
      </c>
      <c r="D17" s="109">
        <f>C8*H17</f>
        <v>18.333333333333336</v>
      </c>
      <c r="E17" s="109">
        <f>C17+D17</f>
        <v>36.66666666666667</v>
      </c>
      <c r="F17" s="41"/>
      <c r="G17" s="48" t="s">
        <v>118</v>
      </c>
      <c r="H17" s="108">
        <f>E14/(C3+C8)</f>
        <v>0.9166666666666667</v>
      </c>
      <c r="I17" s="163" t="s">
        <v>346</v>
      </c>
      <c r="J17" s="164">
        <f>(D8*1000)^2/(C8*1000000)</f>
        <v>20</v>
      </c>
    </row>
    <row r="18" spans="1:10" ht="12" customHeight="1">
      <c r="A18" s="28">
        <v>18</v>
      </c>
      <c r="B18" s="53" t="s">
        <v>152</v>
      </c>
      <c r="C18" s="41"/>
      <c r="D18" s="41"/>
      <c r="E18" s="44"/>
      <c r="F18" s="41"/>
      <c r="G18" s="39"/>
      <c r="H18" s="39"/>
      <c r="I18" s="36"/>
      <c r="J18" s="49"/>
    </row>
    <row r="19" spans="1:10" ht="12" customHeight="1">
      <c r="A19" s="28">
        <v>19</v>
      </c>
      <c r="B19" s="66" t="s">
        <v>107</v>
      </c>
      <c r="C19" s="67"/>
      <c r="D19" s="68"/>
      <c r="E19" s="69"/>
      <c r="F19" s="70"/>
      <c r="G19" s="69"/>
      <c r="H19" s="69"/>
      <c r="I19" s="69"/>
      <c r="J19" s="69"/>
    </row>
    <row r="20" spans="1:9" ht="12" customHeight="1">
      <c r="A20" s="28">
        <v>20</v>
      </c>
      <c r="B20" s="35" t="s">
        <v>30</v>
      </c>
      <c r="C20" s="36" t="s">
        <v>239</v>
      </c>
      <c r="D20" s="36" t="s">
        <v>385</v>
      </c>
      <c r="E20" s="36" t="s">
        <v>240</v>
      </c>
      <c r="F20" s="36" t="s">
        <v>241</v>
      </c>
      <c r="G20" s="135" t="s">
        <v>81</v>
      </c>
      <c r="H20" s="44"/>
      <c r="I20" s="44"/>
    </row>
    <row r="21" spans="1:10" ht="12" customHeight="1">
      <c r="A21" s="28">
        <v>21</v>
      </c>
      <c r="B21" s="48" t="s">
        <v>258</v>
      </c>
      <c r="C21" s="40">
        <f>(D5*(100+H21))/100</f>
        <v>0.08</v>
      </c>
      <c r="D21" s="39">
        <v>0</v>
      </c>
      <c r="E21" s="40">
        <f>COS(D21/180*PI())*C21</f>
        <v>0.08</v>
      </c>
      <c r="F21" s="40">
        <f>SIN(D21/180*PI())*C21</f>
        <v>0</v>
      </c>
      <c r="G21" s="200" t="s">
        <v>366</v>
      </c>
      <c r="H21" s="2">
        <v>0</v>
      </c>
      <c r="I21" s="48"/>
      <c r="J21" s="40"/>
    </row>
    <row r="22" spans="1:9" ht="12" customHeight="1">
      <c r="A22" s="28">
        <v>22</v>
      </c>
      <c r="B22" s="48" t="s">
        <v>259</v>
      </c>
      <c r="C22" s="40">
        <f>(E5*(100+H22))/100</f>
        <v>1.9983993594874874</v>
      </c>
      <c r="D22" s="39">
        <v>90</v>
      </c>
      <c r="E22" s="40">
        <f>COS(D22/180*PI())*C22</f>
        <v>1.2241679437832356E-16</v>
      </c>
      <c r="F22" s="40">
        <f>SIN(D22/180*PI())*C22</f>
        <v>1.9983993594874874</v>
      </c>
      <c r="G22" s="200" t="s">
        <v>367</v>
      </c>
      <c r="H22" s="2">
        <v>0</v>
      </c>
      <c r="I22" s="48"/>
    </row>
    <row r="23" spans="1:10" ht="12" customHeight="1">
      <c r="A23" s="28">
        <v>23</v>
      </c>
      <c r="B23" s="48" t="s">
        <v>260</v>
      </c>
      <c r="C23" s="40">
        <f>SQRT(E23^2+F23^2)</f>
        <v>2</v>
      </c>
      <c r="D23" s="39">
        <f>ATAN2(E23,F23)*180/PI()</f>
        <v>87.70755722404412</v>
      </c>
      <c r="E23" s="40">
        <f>E21+E22</f>
        <v>0.08000000000000013</v>
      </c>
      <c r="F23" s="40">
        <f>F21+F22</f>
        <v>1.9983993594874874</v>
      </c>
      <c r="G23" s="112"/>
      <c r="H23" s="36"/>
      <c r="I23" s="48"/>
      <c r="J23" s="40"/>
    </row>
    <row r="24" spans="1:10" ht="12" customHeight="1">
      <c r="A24" s="28">
        <v>24</v>
      </c>
      <c r="B24" s="165" t="s">
        <v>78</v>
      </c>
      <c r="C24" s="65" t="s">
        <v>239</v>
      </c>
      <c r="D24" s="65" t="s">
        <v>385</v>
      </c>
      <c r="E24" s="65" t="s">
        <v>240</v>
      </c>
      <c r="F24" s="65" t="s">
        <v>241</v>
      </c>
      <c r="G24" s="203" t="s">
        <v>36</v>
      </c>
      <c r="H24" s="65" t="s">
        <v>37</v>
      </c>
      <c r="I24" s="198" t="s">
        <v>373</v>
      </c>
      <c r="J24" s="110"/>
    </row>
    <row r="25" spans="1:9" ht="12" customHeight="1">
      <c r="A25" s="28">
        <v>25</v>
      </c>
      <c r="B25" s="48" t="s">
        <v>261</v>
      </c>
      <c r="C25" s="40">
        <f>SQRT(E25^2+F25^2)</f>
        <v>0</v>
      </c>
      <c r="D25" s="39" t="e">
        <f>ATAN2(E25,F25)*180/PI()</f>
        <v>#DIV/0!</v>
      </c>
      <c r="E25" s="44">
        <f>(G25*(100+G27))/100</f>
        <v>0</v>
      </c>
      <c r="F25" s="44">
        <v>0</v>
      </c>
      <c r="G25" s="226">
        <v>0</v>
      </c>
      <c r="H25" s="106">
        <v>0</v>
      </c>
      <c r="I25" s="199" t="s">
        <v>372</v>
      </c>
    </row>
    <row r="26" spans="1:10" ht="12" customHeight="1">
      <c r="A26" s="28">
        <v>26</v>
      </c>
      <c r="B26" s="48" t="s">
        <v>262</v>
      </c>
      <c r="C26" s="40">
        <f>SQRT(E26^2+F26^2)</f>
        <v>0</v>
      </c>
      <c r="D26" s="39" t="e">
        <f>ATAN2(E26,F26)*180/PI()</f>
        <v>#DIV/0!</v>
      </c>
      <c r="E26" s="44">
        <v>0</v>
      </c>
      <c r="F26" s="44">
        <f>(H25*(100+H27))/100</f>
        <v>0</v>
      </c>
      <c r="G26" s="200" t="s">
        <v>366</v>
      </c>
      <c r="H26" s="37" t="s">
        <v>367</v>
      </c>
      <c r="I26" s="41"/>
      <c r="J26" s="41"/>
    </row>
    <row r="27" spans="1:10" ht="12" customHeight="1">
      <c r="A27" s="28">
        <v>27</v>
      </c>
      <c r="B27" s="48" t="s">
        <v>263</v>
      </c>
      <c r="C27" s="44">
        <f>SQRT(E27^2+F27^2)</f>
        <v>0</v>
      </c>
      <c r="D27" s="39" t="e">
        <f>ATAN2(E27,F27)*180/PI()</f>
        <v>#DIV/0!</v>
      </c>
      <c r="E27" s="44">
        <f>E25+E26</f>
        <v>0</v>
      </c>
      <c r="F27" s="44">
        <f>F25+F26</f>
        <v>0</v>
      </c>
      <c r="G27" s="201">
        <v>0</v>
      </c>
      <c r="H27" s="2">
        <v>0</v>
      </c>
      <c r="I27" s="48"/>
      <c r="J27" s="41"/>
    </row>
    <row r="28" spans="1:10" ht="12" customHeight="1">
      <c r="A28" s="28">
        <v>28</v>
      </c>
      <c r="B28" s="57" t="s">
        <v>381</v>
      </c>
      <c r="D28" s="55"/>
      <c r="E28" s="55"/>
      <c r="F28" s="55"/>
      <c r="G28" s="36"/>
      <c r="H28" s="36"/>
      <c r="I28" s="41"/>
      <c r="J28" s="36"/>
    </row>
    <row r="29" spans="1:10" ht="12" customHeight="1">
      <c r="A29" s="28">
        <v>29</v>
      </c>
      <c r="B29" s="57"/>
      <c r="C29" s="57"/>
      <c r="D29" s="55"/>
      <c r="E29" s="55"/>
      <c r="F29" s="55"/>
      <c r="G29" s="36"/>
      <c r="H29" s="36"/>
      <c r="I29" s="41"/>
      <c r="J29" s="36"/>
    </row>
    <row r="30" spans="1:10" ht="12" customHeight="1">
      <c r="A30" s="28">
        <v>30</v>
      </c>
      <c r="B30" s="41"/>
      <c r="C30" s="137" t="s">
        <v>174</v>
      </c>
      <c r="D30" s="216" t="s">
        <v>338</v>
      </c>
      <c r="E30" s="137" t="s">
        <v>208</v>
      </c>
      <c r="F30" s="137" t="s">
        <v>209</v>
      </c>
      <c r="H30" s="36"/>
      <c r="I30" s="41"/>
      <c r="J30" s="41"/>
    </row>
    <row r="31" spans="1:10" ht="12" customHeight="1">
      <c r="A31" s="28">
        <v>31</v>
      </c>
      <c r="B31" s="59" t="s">
        <v>44</v>
      </c>
      <c r="C31" s="214">
        <f>SQRT(E31^2+F31^2)</f>
        <v>2</v>
      </c>
      <c r="D31" s="215">
        <f>ATAN2(E31,F31)*180/PI()</f>
        <v>87.70755722404412</v>
      </c>
      <c r="E31" s="49">
        <f>E23+E27</f>
        <v>0.08000000000000013</v>
      </c>
      <c r="F31" s="49">
        <f>F23+F27</f>
        <v>1.9983993594874874</v>
      </c>
      <c r="G31" s="36"/>
      <c r="H31" s="36"/>
      <c r="I31" s="41"/>
      <c r="J31" s="41"/>
    </row>
    <row r="32" spans="1:10" ht="12" customHeight="1">
      <c r="A32" s="28">
        <v>32</v>
      </c>
      <c r="B32" s="57"/>
      <c r="C32" s="217"/>
      <c r="D32" s="217"/>
      <c r="E32" s="217"/>
      <c r="F32" s="217"/>
      <c r="G32" s="57"/>
      <c r="H32" s="57"/>
      <c r="I32" s="57"/>
      <c r="J32" s="57"/>
    </row>
    <row r="33" spans="1:10" ht="12" customHeight="1">
      <c r="A33" s="28">
        <v>33</v>
      </c>
      <c r="B33" s="208" t="s">
        <v>108</v>
      </c>
      <c r="C33" s="67"/>
      <c r="D33" s="68"/>
      <c r="E33" s="69"/>
      <c r="F33" s="70"/>
      <c r="G33" s="69"/>
      <c r="H33" s="69"/>
      <c r="I33" s="69"/>
      <c r="J33" s="69"/>
    </row>
    <row r="34" spans="1:10" ht="12" customHeight="1">
      <c r="A34" s="28">
        <v>34</v>
      </c>
      <c r="B34" s="35" t="s">
        <v>30</v>
      </c>
      <c r="C34" s="36" t="s">
        <v>239</v>
      </c>
      <c r="D34" s="36" t="s">
        <v>385</v>
      </c>
      <c r="E34" s="36" t="s">
        <v>240</v>
      </c>
      <c r="F34" s="36" t="s">
        <v>241</v>
      </c>
      <c r="G34" s="135" t="s">
        <v>82</v>
      </c>
      <c r="H34" s="41"/>
      <c r="I34" s="44"/>
      <c r="J34" s="47"/>
    </row>
    <row r="35" spans="1:10" ht="12" customHeight="1">
      <c r="A35" s="28">
        <v>35</v>
      </c>
      <c r="B35" s="48" t="s">
        <v>264</v>
      </c>
      <c r="C35" s="40">
        <f>(D10*(100+H35))/100</f>
        <v>0.09</v>
      </c>
      <c r="D35" s="39">
        <v>0</v>
      </c>
      <c r="E35" s="40">
        <f>COS(D35/180*PI())*C35</f>
        <v>0.09</v>
      </c>
      <c r="F35" s="40">
        <f>SIN(D35/180*PI())*C35</f>
        <v>0</v>
      </c>
      <c r="G35" s="200" t="s">
        <v>368</v>
      </c>
      <c r="H35" s="2">
        <v>0</v>
      </c>
      <c r="I35" s="48"/>
      <c r="J35" s="40"/>
    </row>
    <row r="36" spans="1:9" ht="12" customHeight="1">
      <c r="A36" s="28">
        <v>36</v>
      </c>
      <c r="B36" s="48" t="s">
        <v>265</v>
      </c>
      <c r="C36" s="40">
        <f>(E10*(100+H36))/100</f>
        <v>2.398311906320777</v>
      </c>
      <c r="D36" s="39">
        <v>90</v>
      </c>
      <c r="E36" s="40">
        <f>COS(D36/180*PI())*C36</f>
        <v>1.4691440632089237E-16</v>
      </c>
      <c r="F36" s="40">
        <f>SIN(D36/180*PI())*C36</f>
        <v>2.398311906320777</v>
      </c>
      <c r="G36" s="200" t="s">
        <v>369</v>
      </c>
      <c r="H36" s="2">
        <v>0</v>
      </c>
      <c r="I36" s="48"/>
    </row>
    <row r="37" spans="1:10" ht="12" customHeight="1">
      <c r="A37" s="28">
        <v>37</v>
      </c>
      <c r="B37" s="48" t="s">
        <v>266</v>
      </c>
      <c r="C37" s="40">
        <f>SQRT(E37^2+F37^2)</f>
        <v>2.4</v>
      </c>
      <c r="D37" s="39">
        <f>ATAN2(E37,F37)*180/PI()</f>
        <v>87.85090437313598</v>
      </c>
      <c r="E37" s="40">
        <f>E35+E36</f>
        <v>0.09000000000000015</v>
      </c>
      <c r="F37" s="40">
        <f>F35+F36</f>
        <v>2.398311906320777</v>
      </c>
      <c r="G37" s="112"/>
      <c r="H37" s="36"/>
      <c r="I37" s="48"/>
      <c r="J37" s="40"/>
    </row>
    <row r="38" spans="1:10" ht="12" customHeight="1">
      <c r="A38" s="28">
        <v>38</v>
      </c>
      <c r="B38" s="165" t="s">
        <v>79</v>
      </c>
      <c r="C38" s="65" t="s">
        <v>239</v>
      </c>
      <c r="D38" s="65" t="s">
        <v>385</v>
      </c>
      <c r="E38" s="65" t="s">
        <v>240</v>
      </c>
      <c r="F38" s="65" t="s">
        <v>241</v>
      </c>
      <c r="G38" s="203" t="s">
        <v>38</v>
      </c>
      <c r="H38" s="65" t="s">
        <v>39</v>
      </c>
      <c r="I38" s="198" t="s">
        <v>373</v>
      </c>
      <c r="J38" s="110"/>
    </row>
    <row r="39" spans="1:10" ht="12" customHeight="1">
      <c r="A39" s="28">
        <v>39</v>
      </c>
      <c r="B39" s="48" t="s">
        <v>267</v>
      </c>
      <c r="C39" s="40">
        <f>SQRT(E39^2+F39^2)</f>
        <v>0</v>
      </c>
      <c r="D39" s="39" t="e">
        <f>ATAN2(E39,F39)*180/PI()</f>
        <v>#DIV/0!</v>
      </c>
      <c r="E39" s="44">
        <f>(G39*(100+G41))/100</f>
        <v>0</v>
      </c>
      <c r="F39" s="44">
        <v>0</v>
      </c>
      <c r="G39" s="226">
        <v>0</v>
      </c>
      <c r="H39" s="106">
        <v>0</v>
      </c>
      <c r="I39" s="199" t="s">
        <v>374</v>
      </c>
      <c r="J39" s="41"/>
    </row>
    <row r="40" spans="1:9" ht="12" customHeight="1">
      <c r="A40" s="28">
        <v>40</v>
      </c>
      <c r="B40" s="48" t="s">
        <v>268</v>
      </c>
      <c r="C40" s="40">
        <f>SQRT(E40^2+F40^2)</f>
        <v>0</v>
      </c>
      <c r="D40" s="39" t="e">
        <f>ATAN2(E40,F40)*180/PI()</f>
        <v>#DIV/0!</v>
      </c>
      <c r="E40" s="44">
        <v>0</v>
      </c>
      <c r="F40" s="44">
        <f>(H39*(100+H41))/100</f>
        <v>0</v>
      </c>
      <c r="G40" s="200" t="s">
        <v>368</v>
      </c>
      <c r="H40" s="37" t="s">
        <v>369</v>
      </c>
      <c r="I40" s="48"/>
    </row>
    <row r="41" spans="1:10" ht="12" customHeight="1">
      <c r="A41" s="28">
        <v>41</v>
      </c>
      <c r="B41" s="48" t="s">
        <v>269</v>
      </c>
      <c r="C41" s="44">
        <f>SQRT(E41^2+F41^2)</f>
        <v>0</v>
      </c>
      <c r="D41" s="39" t="e">
        <f>ATAN2(E41,F41)*180/PI()</f>
        <v>#DIV/0!</v>
      </c>
      <c r="E41" s="44">
        <f>E39+E40</f>
        <v>0</v>
      </c>
      <c r="F41" s="44">
        <f>F39+F40</f>
        <v>0</v>
      </c>
      <c r="G41" s="201">
        <v>0</v>
      </c>
      <c r="H41" s="2">
        <v>0</v>
      </c>
      <c r="I41" s="48"/>
      <c r="J41" s="58"/>
    </row>
    <row r="42" spans="1:10" ht="12" customHeight="1">
      <c r="A42" s="28">
        <v>42</v>
      </c>
      <c r="B42" s="57" t="s">
        <v>380</v>
      </c>
      <c r="G42" s="36"/>
      <c r="H42" s="36"/>
      <c r="I42" s="48"/>
      <c r="J42" s="41"/>
    </row>
    <row r="43" spans="1:10" ht="12" customHeight="1">
      <c r="A43" s="28">
        <v>43</v>
      </c>
      <c r="B43" s="57"/>
      <c r="C43" s="57"/>
      <c r="D43" s="57"/>
      <c r="E43" s="57"/>
      <c r="F43" s="57"/>
      <c r="G43" s="57"/>
      <c r="H43" s="36"/>
      <c r="I43" s="48"/>
      <c r="J43" s="41"/>
    </row>
    <row r="44" spans="1:10" ht="12" customHeight="1">
      <c r="A44" s="28">
        <v>44</v>
      </c>
      <c r="B44" s="41"/>
      <c r="C44" s="137" t="s">
        <v>174</v>
      </c>
      <c r="D44" s="216" t="s">
        <v>338</v>
      </c>
      <c r="E44" s="137" t="s">
        <v>208</v>
      </c>
      <c r="F44" s="137" t="s">
        <v>209</v>
      </c>
      <c r="G44" s="36"/>
      <c r="H44" s="36"/>
      <c r="I44" s="48"/>
      <c r="J44" s="41"/>
    </row>
    <row r="45" spans="1:10" ht="12" customHeight="1">
      <c r="A45" s="28">
        <v>45</v>
      </c>
      <c r="B45" s="59" t="s">
        <v>45</v>
      </c>
      <c r="C45" s="214">
        <f>SQRT(E45^2+F45^2)</f>
        <v>2.4</v>
      </c>
      <c r="D45" s="215">
        <f>ATAN2(E45,F45)*180/PI()</f>
        <v>87.85090437313598</v>
      </c>
      <c r="E45" s="49">
        <f>E37+E41</f>
        <v>0.09000000000000015</v>
      </c>
      <c r="F45" s="49">
        <f>F37+F41</f>
        <v>2.398311906320777</v>
      </c>
      <c r="G45" s="36"/>
      <c r="H45" s="36"/>
      <c r="I45" s="60"/>
      <c r="J45" s="60"/>
    </row>
    <row r="46" spans="1:10" ht="12" customHeight="1">
      <c r="A46" s="28">
        <v>46</v>
      </c>
      <c r="B46" s="57"/>
      <c r="C46" s="57"/>
      <c r="D46" s="57"/>
      <c r="E46" s="57"/>
      <c r="F46" s="57"/>
      <c r="G46" s="57"/>
      <c r="H46" s="57"/>
      <c r="I46" s="57"/>
      <c r="J46" s="57"/>
    </row>
    <row r="47" spans="1:10" ht="12" customHeight="1">
      <c r="A47" s="28">
        <v>47</v>
      </c>
      <c r="B47" s="66" t="s">
        <v>300</v>
      </c>
      <c r="C47" s="75"/>
      <c r="D47" s="75"/>
      <c r="E47" s="76"/>
      <c r="F47" s="70"/>
      <c r="G47" s="70"/>
      <c r="H47" s="70"/>
      <c r="I47" s="77"/>
      <c r="J47" s="77"/>
    </row>
    <row r="48" spans="1:10" s="20" customFormat="1" ht="12" customHeight="1">
      <c r="A48" s="28">
        <v>48</v>
      </c>
      <c r="B48" s="48" t="s">
        <v>175</v>
      </c>
      <c r="C48" s="27">
        <v>0.55</v>
      </c>
      <c r="D48" s="3">
        <v>1</v>
      </c>
      <c r="E48" s="116" t="str">
        <f>IF(D48&gt;=0,"induktiv","kapazitiv")</f>
        <v>induktiv</v>
      </c>
      <c r="F48" s="36" t="s">
        <v>378</v>
      </c>
      <c r="G48" s="41"/>
      <c r="H48" s="115" t="s">
        <v>336</v>
      </c>
      <c r="I48" s="37" t="s">
        <v>338</v>
      </c>
      <c r="J48" s="36" t="s">
        <v>46</v>
      </c>
    </row>
    <row r="49" spans="1:10" ht="12" customHeight="1">
      <c r="A49" s="28">
        <v>49</v>
      </c>
      <c r="B49" s="48" t="s">
        <v>176</v>
      </c>
      <c r="C49" s="39">
        <f>C48*(C3+C8)</f>
        <v>22</v>
      </c>
      <c r="D49" s="52" t="s">
        <v>32</v>
      </c>
      <c r="E49" s="41"/>
      <c r="F49" s="40">
        <f>C49/(C3+C8)</f>
        <v>0.55</v>
      </c>
      <c r="H49" s="41"/>
      <c r="I49" s="4">
        <v>32</v>
      </c>
      <c r="J49" s="44">
        <f>COS((I49)/180*PI())</f>
        <v>0.848048096156426</v>
      </c>
    </row>
    <row r="50" spans="1:10" ht="12" customHeight="1">
      <c r="A50" s="28">
        <v>50</v>
      </c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12" customHeight="1">
      <c r="A51" s="28">
        <v>51</v>
      </c>
      <c r="B51" s="167" t="s">
        <v>334</v>
      </c>
      <c r="C51" s="65" t="s">
        <v>174</v>
      </c>
      <c r="D51" s="71" t="s">
        <v>338</v>
      </c>
      <c r="E51" s="65" t="s">
        <v>208</v>
      </c>
      <c r="F51" s="65" t="s">
        <v>209</v>
      </c>
      <c r="G51" s="219" t="s">
        <v>46</v>
      </c>
      <c r="H51" s="203" t="s">
        <v>382</v>
      </c>
      <c r="I51" s="74" t="s">
        <v>210</v>
      </c>
      <c r="J51" s="79"/>
    </row>
    <row r="52" spans="1:10" ht="12" customHeight="1">
      <c r="A52" s="28">
        <v>52</v>
      </c>
      <c r="B52" s="168" t="s">
        <v>210</v>
      </c>
      <c r="C52" s="2">
        <v>14.3</v>
      </c>
      <c r="D52" s="39">
        <f>(ACOS(G52)*180/PI())*D48</f>
        <v>25.841932763167126</v>
      </c>
      <c r="E52" s="40">
        <f>COS((D52)/180*PI())*C52</f>
        <v>12.870000000000001</v>
      </c>
      <c r="F52" s="40">
        <f>SIN((D52)/180*PI())*C52</f>
        <v>6.2332254892631624</v>
      </c>
      <c r="G52" s="222">
        <v>0.9</v>
      </c>
      <c r="H52" s="181">
        <f>SIN((D52)/180*PI())</f>
        <v>0.4358898943540673</v>
      </c>
      <c r="I52" s="207">
        <f>G299</f>
        <v>17.63156529970796</v>
      </c>
      <c r="J52" s="137"/>
    </row>
    <row r="53" spans="1:10" ht="12" customHeight="1">
      <c r="A53" s="28">
        <v>53</v>
      </c>
      <c r="B53" s="169"/>
      <c r="C53" s="41"/>
      <c r="D53" s="41"/>
      <c r="E53" s="41"/>
      <c r="F53" s="41"/>
      <c r="G53" s="223"/>
      <c r="H53" s="224"/>
      <c r="I53" s="140"/>
      <c r="J53" s="140"/>
    </row>
    <row r="54" spans="1:10" ht="12" customHeight="1">
      <c r="A54" s="28">
        <v>54</v>
      </c>
      <c r="B54" s="166" t="s">
        <v>332</v>
      </c>
      <c r="C54" s="65" t="s">
        <v>174</v>
      </c>
      <c r="D54" s="71" t="s">
        <v>338</v>
      </c>
      <c r="E54" s="65" t="s">
        <v>208</v>
      </c>
      <c r="F54" s="65" t="s">
        <v>209</v>
      </c>
      <c r="G54" s="219" t="s">
        <v>46</v>
      </c>
      <c r="H54" s="203" t="s">
        <v>382</v>
      </c>
      <c r="I54" s="209"/>
      <c r="J54" s="140"/>
    </row>
    <row r="55" spans="1:10" ht="12" customHeight="1">
      <c r="A55" s="28">
        <v>55</v>
      </c>
      <c r="B55" s="170" t="s">
        <v>354</v>
      </c>
      <c r="C55" s="40">
        <f>SQRT(E55^2+F55^2)</f>
        <v>0</v>
      </c>
      <c r="D55" s="39" t="e">
        <f>ATAN2(E55,F55)*180/PI()</f>
        <v>#DIV/0!</v>
      </c>
      <c r="E55" s="107">
        <v>0</v>
      </c>
      <c r="F55" s="107">
        <v>0</v>
      </c>
      <c r="G55" s="225" t="e">
        <f>COS((D55)/180*PI())</f>
        <v>#DIV/0!</v>
      </c>
      <c r="H55" s="181" t="e">
        <f>SIN((D55)/180*PI())</f>
        <v>#DIV/0!</v>
      </c>
      <c r="I55" s="36"/>
      <c r="J55" s="36"/>
    </row>
    <row r="56" spans="1:10" ht="12" customHeight="1">
      <c r="A56" s="28">
        <v>56</v>
      </c>
      <c r="C56" s="41"/>
      <c r="D56" s="41"/>
      <c r="E56" s="41"/>
      <c r="F56" s="41"/>
      <c r="G56" s="223"/>
      <c r="H56" s="224"/>
      <c r="I56" s="36"/>
      <c r="J56" s="36"/>
    </row>
    <row r="57" spans="1:10" ht="12" customHeight="1">
      <c r="A57" s="28">
        <v>57</v>
      </c>
      <c r="B57" s="166" t="s">
        <v>333</v>
      </c>
      <c r="C57" s="65" t="s">
        <v>174</v>
      </c>
      <c r="D57" s="71" t="s">
        <v>338</v>
      </c>
      <c r="E57" s="65" t="s">
        <v>208</v>
      </c>
      <c r="F57" s="65" t="s">
        <v>209</v>
      </c>
      <c r="G57" s="219" t="s">
        <v>46</v>
      </c>
      <c r="H57" s="203" t="s">
        <v>382</v>
      </c>
      <c r="I57" s="36"/>
      <c r="J57" s="137"/>
    </row>
    <row r="58" spans="1:10" ht="12" customHeight="1">
      <c r="A58" s="28">
        <v>58</v>
      </c>
      <c r="B58" s="48" t="s">
        <v>355</v>
      </c>
      <c r="C58" s="108">
        <f>SQRT(E58^2+F58^2)</f>
        <v>14.3</v>
      </c>
      <c r="D58" s="31">
        <f>ATAN2(E58,F58)*180/PI()</f>
        <v>25.841932763167126</v>
      </c>
      <c r="E58" s="40">
        <f>E52+E55</f>
        <v>12.870000000000001</v>
      </c>
      <c r="F58" s="40">
        <f>F52+F55</f>
        <v>6.2332254892631624</v>
      </c>
      <c r="G58" s="225">
        <f>COS((D58)/180*PI())</f>
        <v>0.9</v>
      </c>
      <c r="H58" s="181">
        <f>SIN((D58)/180*PI())</f>
        <v>0.4358898943540673</v>
      </c>
      <c r="I58" s="62"/>
      <c r="J58" s="140"/>
    </row>
    <row r="59" spans="1:10" ht="12" customHeight="1">
      <c r="A59" s="28">
        <v>59</v>
      </c>
      <c r="B59" s="36"/>
      <c r="C59" s="36"/>
      <c r="D59" s="36"/>
      <c r="E59" s="36"/>
      <c r="F59" s="36"/>
      <c r="G59" s="36"/>
      <c r="H59" s="36"/>
      <c r="I59" s="36"/>
      <c r="J59" s="36"/>
    </row>
    <row r="60" spans="1:10" ht="12" customHeight="1">
      <c r="A60" s="28">
        <v>60</v>
      </c>
      <c r="B60" s="82" t="s">
        <v>141</v>
      </c>
      <c r="C60" s="77"/>
      <c r="D60" s="77"/>
      <c r="E60" s="77"/>
      <c r="F60" s="77"/>
      <c r="G60" s="77"/>
      <c r="H60" s="83"/>
      <c r="I60" s="83"/>
      <c r="J60" s="70"/>
    </row>
    <row r="61" spans="1:10" ht="12" customHeight="1">
      <c r="A61" s="28">
        <v>61</v>
      </c>
      <c r="B61" s="48" t="s">
        <v>109</v>
      </c>
      <c r="C61" s="150" t="s">
        <v>130</v>
      </c>
      <c r="D61" s="150" t="s">
        <v>131</v>
      </c>
      <c r="E61" s="212" t="s">
        <v>363</v>
      </c>
      <c r="F61" s="210"/>
      <c r="G61" s="36"/>
      <c r="H61" s="150" t="s">
        <v>130</v>
      </c>
      <c r="I61" s="150" t="s">
        <v>131</v>
      </c>
      <c r="J61" s="197" t="s">
        <v>364</v>
      </c>
    </row>
    <row r="62" spans="1:10" ht="12" customHeight="1">
      <c r="A62" s="28">
        <v>62</v>
      </c>
      <c r="B62" s="61" t="s">
        <v>100</v>
      </c>
      <c r="C62" s="180">
        <f>I232</f>
        <v>0</v>
      </c>
      <c r="D62" s="180">
        <f>J232</f>
        <v>0</v>
      </c>
      <c r="E62" s="211" t="s">
        <v>370</v>
      </c>
      <c r="F62" s="85"/>
      <c r="G62" s="48" t="s">
        <v>111</v>
      </c>
      <c r="H62" s="152">
        <f>C172</f>
        <v>14.697776751467202</v>
      </c>
      <c r="I62" s="152">
        <f>C186</f>
        <v>12.248147292873876</v>
      </c>
      <c r="J62" s="151">
        <f>C194</f>
        <v>26.945924044341076</v>
      </c>
    </row>
    <row r="63" spans="1:10" ht="12" customHeight="1">
      <c r="A63" s="28">
        <v>63</v>
      </c>
      <c r="B63" s="61" t="s">
        <v>136</v>
      </c>
      <c r="C63" s="182">
        <v>1.7</v>
      </c>
      <c r="D63" s="182">
        <v>1.7</v>
      </c>
      <c r="E63" s="45"/>
      <c r="F63" s="41"/>
      <c r="G63" s="48" t="s">
        <v>375</v>
      </c>
      <c r="H63" s="152">
        <f>J166</f>
        <v>0.7348888375733601</v>
      </c>
      <c r="I63" s="152">
        <f>J180</f>
        <v>0.6124073646436938</v>
      </c>
      <c r="J63" s="151">
        <f>J62/(C3+C8)</f>
        <v>0.6736481011085269</v>
      </c>
    </row>
    <row r="64" spans="1:10" ht="12" customHeight="1">
      <c r="A64" s="28">
        <v>64</v>
      </c>
      <c r="B64" s="61" t="s">
        <v>362</v>
      </c>
      <c r="C64" s="113">
        <f>(C63/100*C69)*1000</f>
        <v>196.29909152447277</v>
      </c>
      <c r="D64" s="153">
        <f>(D63/100*D69)*1000</f>
        <v>196.29909152447277</v>
      </c>
      <c r="E64" s="41"/>
      <c r="F64" s="41"/>
      <c r="G64" s="41"/>
      <c r="H64" s="41"/>
      <c r="J64" s="41"/>
    </row>
    <row r="65" spans="1:10" ht="12" customHeight="1">
      <c r="A65" s="28">
        <v>65</v>
      </c>
      <c r="B65" s="14" t="s">
        <v>365</v>
      </c>
      <c r="C65" s="218" t="s">
        <v>211</v>
      </c>
      <c r="D65" s="219" t="s">
        <v>212</v>
      </c>
      <c r="E65" s="203" t="s">
        <v>213</v>
      </c>
      <c r="F65" s="41"/>
      <c r="G65" s="41"/>
      <c r="H65" s="218" t="s">
        <v>129</v>
      </c>
      <c r="I65" s="219" t="s">
        <v>132</v>
      </c>
      <c r="J65" s="203" t="s">
        <v>52</v>
      </c>
    </row>
    <row r="66" spans="1:10" ht="12" customHeight="1">
      <c r="A66" s="28">
        <v>66</v>
      </c>
      <c r="B66" s="41"/>
      <c r="C66" s="220">
        <f>C115</f>
        <v>8.78022617952638E-11</v>
      </c>
      <c r="D66" s="221">
        <f>C126</f>
        <v>-17.02326195287651</v>
      </c>
      <c r="E66" s="204">
        <f>I126</f>
        <v>-17.02326195287648</v>
      </c>
      <c r="F66" s="41"/>
      <c r="G66" s="41"/>
      <c r="H66" s="144">
        <f>H72/I72</f>
        <v>1.1947194933803214</v>
      </c>
      <c r="I66" s="152">
        <f>H62/I62</f>
        <v>1.2000000000015147</v>
      </c>
      <c r="J66" s="151">
        <f>C3/C8</f>
        <v>1</v>
      </c>
    </row>
    <row r="67" spans="1:10" ht="12" customHeight="1">
      <c r="A67" s="28">
        <v>67</v>
      </c>
      <c r="B67" s="41"/>
      <c r="C67" s="85"/>
      <c r="D67" s="41"/>
      <c r="E67" s="85"/>
      <c r="F67" s="41"/>
      <c r="G67" s="41"/>
      <c r="H67" s="41"/>
      <c r="I67" s="41"/>
      <c r="J67" s="41"/>
    </row>
    <row r="68" spans="1:11" ht="12" customHeight="1">
      <c r="A68" s="28">
        <v>68</v>
      </c>
      <c r="B68" s="35" t="s">
        <v>112</v>
      </c>
      <c r="C68" s="44" t="s">
        <v>347</v>
      </c>
      <c r="D68" s="44" t="s">
        <v>348</v>
      </c>
      <c r="E68" s="181" t="s">
        <v>349</v>
      </c>
      <c r="F68" s="44" t="s">
        <v>350</v>
      </c>
      <c r="G68" s="41"/>
      <c r="H68" s="78" t="s">
        <v>133</v>
      </c>
      <c r="I68" s="41"/>
      <c r="J68" s="36"/>
      <c r="K68" s="11"/>
    </row>
    <row r="69" spans="1:11" s="20" customFormat="1" ht="12" customHeight="1">
      <c r="A69" s="28">
        <v>69</v>
      </c>
      <c r="B69" s="61" t="s">
        <v>50</v>
      </c>
      <c r="C69" s="92">
        <f>D3/SQRT(3)</f>
        <v>11.547005383792516</v>
      </c>
      <c r="D69" s="92">
        <f>D8/SQRT(3)</f>
        <v>11.547005383792516</v>
      </c>
      <c r="E69" s="181">
        <f>C69*SQRT(3)</f>
        <v>20</v>
      </c>
      <c r="F69" s="44">
        <f>D69*SQRT(3)</f>
        <v>20</v>
      </c>
      <c r="G69" s="41"/>
      <c r="H69" s="137" t="s">
        <v>225</v>
      </c>
      <c r="I69" s="137" t="s">
        <v>226</v>
      </c>
      <c r="J69" s="197" t="s">
        <v>364</v>
      </c>
      <c r="K69" s="6"/>
    </row>
    <row r="70" spans="1:11" s="20" customFormat="1" ht="12" customHeight="1">
      <c r="A70" s="28">
        <v>70</v>
      </c>
      <c r="B70" s="86" t="s">
        <v>148</v>
      </c>
      <c r="C70" s="93">
        <f>E70/SQRT(3)</f>
        <v>0</v>
      </c>
      <c r="D70" s="93">
        <f>ROUND((F70/SQRT(3)),3)</f>
        <v>0</v>
      </c>
      <c r="E70" s="181">
        <f>ROUND((C62*(C63/100)*E69),3)</f>
        <v>0</v>
      </c>
      <c r="F70" s="92">
        <f>ROUND((D62*(D63/100)*F69),3)</f>
        <v>0</v>
      </c>
      <c r="G70" s="48" t="s">
        <v>307</v>
      </c>
      <c r="H70" s="154">
        <f>C165</f>
        <v>424.2882681970632</v>
      </c>
      <c r="I70" s="154">
        <f>C179</f>
        <v>353.5735568307459</v>
      </c>
      <c r="J70" s="155">
        <f>C101</f>
        <v>777.8612214390483</v>
      </c>
      <c r="K70" s="6"/>
    </row>
    <row r="71" spans="1:11" s="20" customFormat="1" ht="12" customHeight="1">
      <c r="A71" s="28">
        <v>71</v>
      </c>
      <c r="B71" s="61" t="s">
        <v>51</v>
      </c>
      <c r="C71" s="117">
        <f>C69+C70+0.00000000001</f>
        <v>11.547005383802516</v>
      </c>
      <c r="D71" s="117">
        <f>D69+D70</f>
        <v>11.547005383792516</v>
      </c>
      <c r="E71" s="181">
        <f>C71*SQRT(3)</f>
        <v>20.00000000001732</v>
      </c>
      <c r="F71" s="44">
        <f>D71*SQRT(3)</f>
        <v>20</v>
      </c>
      <c r="G71" s="48" t="s">
        <v>383</v>
      </c>
      <c r="H71" s="154">
        <f>F105</f>
        <v>369.3009098175801</v>
      </c>
      <c r="I71" s="154">
        <f>F106</f>
        <v>307.31426907538275</v>
      </c>
      <c r="J71" s="155">
        <f>E101</f>
        <v>676.6151788929628</v>
      </c>
      <c r="K71" s="6"/>
    </row>
    <row r="72" spans="1:11" s="20" customFormat="1" ht="12" customHeight="1">
      <c r="A72" s="28">
        <v>72</v>
      </c>
      <c r="B72" s="61" t="s">
        <v>110</v>
      </c>
      <c r="C72" s="106">
        <v>0</v>
      </c>
      <c r="D72" s="106">
        <v>0</v>
      </c>
      <c r="E72" s="181" t="s">
        <v>57</v>
      </c>
      <c r="F72" s="44">
        <f>C85*SQRT(3)/1000</f>
        <v>20.00000000000945</v>
      </c>
      <c r="G72" s="48" t="s">
        <v>384</v>
      </c>
      <c r="H72" s="154">
        <f>G105</f>
        <v>-208.8956020062907</v>
      </c>
      <c r="I72" s="154">
        <f>G106</f>
        <v>-174.84907810053772</v>
      </c>
      <c r="J72" s="155">
        <f>F101</f>
        <v>-383.7446801068284</v>
      </c>
      <c r="K72" s="6"/>
    </row>
    <row r="73" spans="1:11" s="20" customFormat="1" ht="12" customHeight="1">
      <c r="A73" s="28">
        <v>73</v>
      </c>
      <c r="B73" s="196" t="s">
        <v>360</v>
      </c>
      <c r="C73" s="36"/>
      <c r="D73" s="36"/>
      <c r="E73" s="36"/>
      <c r="F73" s="36"/>
      <c r="G73" s="41"/>
      <c r="H73" s="41"/>
      <c r="I73" s="41"/>
      <c r="J73" s="41"/>
      <c r="K73" s="6"/>
    </row>
    <row r="74" spans="1:10" ht="12" customHeight="1">
      <c r="A74" s="28">
        <v>74</v>
      </c>
      <c r="B74" s="35" t="s">
        <v>113</v>
      </c>
      <c r="C74" s="44" t="s">
        <v>216</v>
      </c>
      <c r="D74" s="36" t="s">
        <v>385</v>
      </c>
      <c r="E74" s="44" t="s">
        <v>214</v>
      </c>
      <c r="F74" s="44" t="s">
        <v>215</v>
      </c>
      <c r="H74" s="88" t="s">
        <v>331</v>
      </c>
      <c r="I74" s="41"/>
      <c r="J74" s="44" t="s">
        <v>221</v>
      </c>
    </row>
    <row r="75" spans="1:10" ht="12" customHeight="1">
      <c r="A75" s="28">
        <v>75</v>
      </c>
      <c r="B75" s="51" t="s">
        <v>217</v>
      </c>
      <c r="C75" s="44">
        <f>C71</f>
        <v>11.547005383802516</v>
      </c>
      <c r="D75" s="39">
        <f>C72</f>
        <v>0</v>
      </c>
      <c r="E75" s="40">
        <f>COS(D75/180*PI())*C75</f>
        <v>11.547005383802516</v>
      </c>
      <c r="F75" s="40">
        <f>SIN(D75/180*PI())*C75</f>
        <v>0</v>
      </c>
      <c r="G75" s="41"/>
      <c r="H75" s="41"/>
      <c r="I75" s="48" t="s">
        <v>222</v>
      </c>
      <c r="J75" s="156">
        <v>20000</v>
      </c>
    </row>
    <row r="76" spans="1:10" ht="12" customHeight="1">
      <c r="A76" s="28">
        <v>76</v>
      </c>
      <c r="B76" s="51" t="s">
        <v>218</v>
      </c>
      <c r="C76" s="44">
        <f>D71</f>
        <v>11.547005383792516</v>
      </c>
      <c r="D76" s="39">
        <f>D72</f>
        <v>0</v>
      </c>
      <c r="E76" s="40">
        <f>COS(D76/180*PI())*C76</f>
        <v>11.547005383792516</v>
      </c>
      <c r="F76" s="40">
        <f>SIN(D76/180*PI())*C76</f>
        <v>0</v>
      </c>
      <c r="G76" s="54"/>
      <c r="H76" s="41"/>
      <c r="I76" s="48" t="s">
        <v>223</v>
      </c>
      <c r="J76" s="62">
        <f>I150</f>
        <v>19266.320741811236</v>
      </c>
    </row>
    <row r="77" spans="1:10" ht="12" customHeight="1">
      <c r="A77" s="28">
        <v>77</v>
      </c>
      <c r="B77" s="51" t="s">
        <v>219</v>
      </c>
      <c r="C77" s="44">
        <f>SQRT(E77^2+F77^2)</f>
        <v>9.99911264898401E-12</v>
      </c>
      <c r="D77" s="39">
        <f>ATAN2(E77,F77)*180/PI()</f>
        <v>0</v>
      </c>
      <c r="E77" s="40">
        <f>E75-E76</f>
        <v>9.99911264898401E-12</v>
      </c>
      <c r="F77" s="40">
        <f>F75-F76</f>
        <v>0</v>
      </c>
      <c r="G77" s="36"/>
      <c r="H77" s="41"/>
      <c r="I77" s="48" t="s">
        <v>224</v>
      </c>
      <c r="J77" s="62">
        <f>J75-I150</f>
        <v>733.6792581887639</v>
      </c>
    </row>
    <row r="78" spans="1:10" ht="12" customHeight="1">
      <c r="A78" s="28">
        <v>78</v>
      </c>
      <c r="B78" s="51" t="s">
        <v>220</v>
      </c>
      <c r="C78" s="44">
        <f>SQRT(E78^2+F78^2)</f>
        <v>9.99911264898401E-12</v>
      </c>
      <c r="D78" s="39">
        <f>ATAN2(E78,F78)*180/PI()</f>
        <v>180</v>
      </c>
      <c r="E78" s="40">
        <f>E76-E75</f>
        <v>-9.99911264898401E-12</v>
      </c>
      <c r="F78" s="40">
        <f>F76-F75</f>
        <v>0</v>
      </c>
      <c r="G78" s="36"/>
      <c r="H78" s="41"/>
      <c r="I78" s="51" t="s">
        <v>219</v>
      </c>
      <c r="J78" s="62">
        <f>(E71-F71)*1000</f>
        <v>1.7319479184152442E-08</v>
      </c>
    </row>
    <row r="79" spans="1:10" ht="12" customHeight="1">
      <c r="A79" s="28">
        <v>79</v>
      </c>
      <c r="B79" s="51"/>
      <c r="C79" s="90"/>
      <c r="D79" s="91"/>
      <c r="E79" s="55"/>
      <c r="F79" s="55"/>
      <c r="G79" s="36"/>
      <c r="H79" s="36"/>
      <c r="I79" s="41"/>
      <c r="J79" s="41"/>
    </row>
    <row r="80" spans="1:10" ht="12" customHeight="1">
      <c r="A80" s="28">
        <v>80</v>
      </c>
      <c r="B80" s="35" t="s">
        <v>47</v>
      </c>
      <c r="C80" s="40" t="s">
        <v>7</v>
      </c>
      <c r="D80" s="36" t="s">
        <v>385</v>
      </c>
      <c r="E80" s="44" t="s">
        <v>8</v>
      </c>
      <c r="F80" s="44" t="s">
        <v>9</v>
      </c>
      <c r="G80" s="54"/>
      <c r="H80" s="41"/>
      <c r="I80" s="60"/>
      <c r="J80" s="44"/>
    </row>
    <row r="81" spans="1:10" ht="12" customHeight="1">
      <c r="A81" s="28">
        <v>81</v>
      </c>
      <c r="B81" s="61" t="s">
        <v>232</v>
      </c>
      <c r="C81" s="40">
        <f>SQRT(E81^2+F81^2)</f>
        <v>0.4545458072542926</v>
      </c>
      <c r="D81" s="39">
        <f>ATAN2(E81,F81)*180/PI()</f>
        <v>-0.07818935742075439</v>
      </c>
      <c r="E81" s="39">
        <f>(COS((D31-D111)/180*PI())*C31/C111)</f>
        <v>0.4545453840036596</v>
      </c>
      <c r="F81" s="39">
        <f>(SIN((D31-D111)/180*PI())*C31/C111)</f>
        <v>-0.0006203010738018475</v>
      </c>
      <c r="G81" s="36"/>
      <c r="H81" s="36"/>
      <c r="I81" s="41"/>
      <c r="J81" s="41"/>
    </row>
    <row r="82" spans="1:10" ht="12" customHeight="1">
      <c r="A82" s="28">
        <v>82</v>
      </c>
      <c r="B82" s="61" t="s">
        <v>233</v>
      </c>
      <c r="C82" s="40">
        <f>SQRT(E82^2+F82^2)</f>
        <v>0.5454549687051512</v>
      </c>
      <c r="D82" s="39">
        <f>ATAN2(E82,F82)*180/PI()</f>
        <v>0.06515779167109771</v>
      </c>
      <c r="E82" s="39">
        <f>COS((D45-D111)/180*PI())*C45/C111</f>
        <v>0.5454546159963405</v>
      </c>
      <c r="F82" s="39">
        <f>SIN((D45-D111)/180*PI())*C45/C111</f>
        <v>0.0006203010738018551</v>
      </c>
      <c r="G82" s="36"/>
      <c r="H82" s="36"/>
      <c r="I82" s="61"/>
      <c r="J82" s="41"/>
    </row>
    <row r="83" spans="1:10" ht="12" customHeight="1">
      <c r="A83" s="28">
        <v>83</v>
      </c>
      <c r="B83" s="61" t="s">
        <v>234</v>
      </c>
      <c r="C83" s="62">
        <f>SQRT(E83^2+F83^2)</f>
        <v>6298.371460260214</v>
      </c>
      <c r="D83" s="39">
        <f>ATAN2(E83,F83)*180/PI()</f>
        <v>0.06515779167109771</v>
      </c>
      <c r="E83" s="62">
        <f>COS((D75+D82)/180*PI())*C75*1000*C82</f>
        <v>6298.367387529678</v>
      </c>
      <c r="F83" s="62">
        <f>SIN((D75+D82)/180*PI())*C75*1000*C82</f>
        <v>7.162619838768504</v>
      </c>
      <c r="G83" s="36"/>
      <c r="H83" s="36"/>
      <c r="I83" s="60"/>
      <c r="J83" s="39"/>
    </row>
    <row r="84" spans="1:10" ht="12" customHeight="1">
      <c r="A84" s="28">
        <v>84</v>
      </c>
      <c r="B84" s="61" t="s">
        <v>235</v>
      </c>
      <c r="C84" s="62">
        <f>SQRT(E84^2+F84^2)</f>
        <v>5248.642883545633</v>
      </c>
      <c r="D84" s="39">
        <f>ATAN2(E84,F84)*180/PI()</f>
        <v>-0.07818935742075439</v>
      </c>
      <c r="E84" s="62">
        <f>COS((D76+D81)/180*PI())*C76*1000*C81</f>
        <v>5248.637996268294</v>
      </c>
      <c r="F84" s="62">
        <f>SIN((D76+D81)/180*PI())*C76*1000*C81</f>
        <v>-7.162619838762211</v>
      </c>
      <c r="G84" s="36"/>
      <c r="H84" s="36"/>
      <c r="I84" s="44"/>
      <c r="J84" s="60"/>
    </row>
    <row r="85" spans="1:10" ht="12" customHeight="1">
      <c r="A85" s="28">
        <v>85</v>
      </c>
      <c r="B85" s="48" t="s">
        <v>227</v>
      </c>
      <c r="C85" s="62">
        <f>SQRT(E85^2+F85^2)</f>
        <v>11547.005383797972</v>
      </c>
      <c r="D85" s="40">
        <f>ATAN2(E85,F85)*180/PI()</f>
        <v>3.122434490215116E-14</v>
      </c>
      <c r="E85" s="62">
        <f>E83+E84</f>
        <v>11547.005383797972</v>
      </c>
      <c r="F85" s="40">
        <f>F83+F84</f>
        <v>6.292744103575387E-12</v>
      </c>
      <c r="G85" s="36"/>
      <c r="H85" s="36"/>
      <c r="I85" s="44"/>
      <c r="J85" s="60"/>
    </row>
    <row r="86" spans="1:10" ht="12" customHeight="1">
      <c r="A86" s="28">
        <v>86</v>
      </c>
      <c r="B86" s="41"/>
      <c r="C86" s="41"/>
      <c r="D86" s="41"/>
      <c r="E86" s="41"/>
      <c r="F86" s="41"/>
      <c r="G86" s="41"/>
      <c r="H86" s="41"/>
      <c r="I86" s="47"/>
      <c r="J86" s="60"/>
    </row>
    <row r="87" spans="1:10" ht="12" customHeight="1">
      <c r="A87" s="28">
        <v>87</v>
      </c>
      <c r="B87" s="66" t="s">
        <v>91</v>
      </c>
      <c r="C87" s="80"/>
      <c r="D87" s="69"/>
      <c r="E87" s="69"/>
      <c r="F87" s="69"/>
      <c r="G87" s="69"/>
      <c r="H87" s="69"/>
      <c r="I87" s="70"/>
      <c r="J87" s="81"/>
    </row>
    <row r="88" spans="1:10" ht="12" customHeight="1">
      <c r="A88" s="28">
        <v>88</v>
      </c>
      <c r="B88" s="48"/>
      <c r="C88" s="40" t="s">
        <v>7</v>
      </c>
      <c r="D88" s="36" t="s">
        <v>385</v>
      </c>
      <c r="E88" s="44" t="s">
        <v>8</v>
      </c>
      <c r="F88" s="44" t="s">
        <v>9</v>
      </c>
      <c r="G88" s="54"/>
      <c r="H88" s="41"/>
      <c r="I88" s="41"/>
      <c r="J88" s="41"/>
    </row>
    <row r="89" spans="1:10" ht="12" customHeight="1">
      <c r="A89" s="28">
        <v>89</v>
      </c>
      <c r="B89" s="61" t="s">
        <v>195</v>
      </c>
      <c r="C89" s="62">
        <f>SQRT(E89^2+F89^2)</f>
        <v>27712.81292112604</v>
      </c>
      <c r="D89" s="39">
        <f>ATAN2(E89,F89)*180/PI()</f>
        <v>87.85090437313598</v>
      </c>
      <c r="E89" s="62">
        <f>COS((D75+D45)/180*PI())*C75*C45*1000</f>
        <v>1039.2304845422304</v>
      </c>
      <c r="F89" s="62">
        <f>SIN((D75+D45)/180*PI())*C75*C45*1000</f>
        <v>27693.32049432369</v>
      </c>
      <c r="G89" s="36"/>
      <c r="H89" s="36"/>
      <c r="I89" s="41"/>
      <c r="J89" s="62"/>
    </row>
    <row r="90" spans="1:10" ht="12" customHeight="1">
      <c r="A90" s="28">
        <v>90</v>
      </c>
      <c r="B90" s="61" t="s">
        <v>196</v>
      </c>
      <c r="C90" s="62">
        <f>SQRT(E90^2+F90^2)</f>
        <v>23094.010767585034</v>
      </c>
      <c r="D90" s="39">
        <f>ATAN2(E90,F90)*180/PI()</f>
        <v>87.70755722404412</v>
      </c>
      <c r="E90" s="62">
        <f>COS((D76+D31)/180*PI())*C76*C31*1000</f>
        <v>923.7604307033986</v>
      </c>
      <c r="F90" s="62">
        <f>SIN((D76+D31)/180*PI())*C76*C31*1000</f>
        <v>23075.528162969535</v>
      </c>
      <c r="G90" s="36"/>
      <c r="H90" s="36"/>
      <c r="I90" s="62"/>
      <c r="J90" s="41"/>
    </row>
    <row r="91" spans="1:10" ht="12" customHeight="1">
      <c r="A91" s="28">
        <v>91</v>
      </c>
      <c r="B91" s="61" t="s">
        <v>197</v>
      </c>
      <c r="C91" s="62">
        <f>SQRT(E91^2+F91^2)</f>
        <v>50806.78426470702</v>
      </c>
      <c r="D91" s="39">
        <f>ATAN2(E91,F91)*180/PI()</f>
        <v>87.7857465814649</v>
      </c>
      <c r="E91" s="62">
        <f>E89+E90</f>
        <v>1962.990915245629</v>
      </c>
      <c r="F91" s="62">
        <f>F89+F90</f>
        <v>50768.84865729322</v>
      </c>
      <c r="G91" s="36"/>
      <c r="H91" s="36"/>
      <c r="I91" s="44"/>
      <c r="J91" s="40"/>
    </row>
    <row r="92" spans="1:10" ht="12" customHeight="1">
      <c r="A92" s="28">
        <v>92</v>
      </c>
      <c r="B92" s="61" t="s">
        <v>171</v>
      </c>
      <c r="C92" s="40">
        <f>SQRT(E92^2+F92^2)</f>
        <v>62.91995117666967</v>
      </c>
      <c r="D92" s="40">
        <f>ATAN2(E92,F92)*180/PI()</f>
        <v>113.627679344632</v>
      </c>
      <c r="E92" s="40">
        <f>COS((D58+D111)/180*PI())*C58*C111</f>
        <v>-25.21779273096656</v>
      </c>
      <c r="F92" s="40">
        <f>SIN((D58+D111)/180*PI())*C58*C111</f>
        <v>57.64532232412709</v>
      </c>
      <c r="G92" s="36"/>
      <c r="H92" s="186" t="s">
        <v>352</v>
      </c>
      <c r="I92" s="44"/>
      <c r="J92" s="40"/>
    </row>
    <row r="93" spans="1:10" ht="12" customHeight="1">
      <c r="A93" s="28">
        <v>93</v>
      </c>
      <c r="B93" s="61" t="s">
        <v>172</v>
      </c>
      <c r="C93" s="40">
        <f>SQRT(E93^2+F93^2)</f>
        <v>65.31600093229245</v>
      </c>
      <c r="D93" s="40">
        <f>ATAN2(E93,F93)*180/PI()</f>
        <v>117.34563894406706</v>
      </c>
      <c r="E93" s="40">
        <f>E147+E92</f>
        <v>-30.003377708409218</v>
      </c>
      <c r="F93" s="40">
        <f>F147+F92</f>
        <v>58.01704321898663</v>
      </c>
      <c r="G93" s="36"/>
      <c r="H93" s="36"/>
      <c r="I93" s="95"/>
      <c r="J93" s="60"/>
    </row>
    <row r="94" spans="1:10" ht="12" customHeight="1">
      <c r="A94" s="28">
        <v>94</v>
      </c>
      <c r="B94" s="41"/>
      <c r="C94" s="65" t="s">
        <v>29</v>
      </c>
      <c r="D94" s="65" t="s">
        <v>385</v>
      </c>
      <c r="E94" s="65" t="s">
        <v>228</v>
      </c>
      <c r="F94" s="65" t="s">
        <v>229</v>
      </c>
      <c r="G94" s="65" t="s">
        <v>288</v>
      </c>
      <c r="H94" s="41"/>
      <c r="I94" s="41"/>
      <c r="J94" s="41"/>
    </row>
    <row r="95" spans="1:10" ht="12" customHeight="1">
      <c r="A95" s="28">
        <v>95</v>
      </c>
      <c r="B95" s="48" t="s">
        <v>105</v>
      </c>
      <c r="C95" s="109">
        <f>SQRT(F95^2+E95^2)</f>
        <v>777.8612214390482</v>
      </c>
      <c r="D95" s="109">
        <f aca="true" t="shared" si="0" ref="D95:D101">ATAN2(E95,F95)*180/PI()</f>
        <v>-29.55989236260215</v>
      </c>
      <c r="E95" s="109">
        <f>COS((D91-D93)/180*PI())*C91/C93</f>
        <v>676.6151788929627</v>
      </c>
      <c r="F95" s="109">
        <f>SIN((D91-D93)/180*PI())*C91/C93</f>
        <v>-383.74468010682835</v>
      </c>
      <c r="G95" s="62">
        <f>C95^2</f>
        <v>605068.079818648</v>
      </c>
      <c r="H95" s="41"/>
      <c r="I95" s="41"/>
      <c r="J95" s="41"/>
    </row>
    <row r="96" spans="1:10" ht="12" customHeight="1">
      <c r="A96" s="28">
        <v>96</v>
      </c>
      <c r="B96" s="61" t="s">
        <v>251</v>
      </c>
      <c r="C96" s="39">
        <f>C95*E126</f>
        <v>388.9306107195241</v>
      </c>
      <c r="D96" s="39">
        <f t="shared" si="0"/>
        <v>-29.55989236260215</v>
      </c>
      <c r="E96" s="39">
        <f>E95*E126</f>
        <v>338.30758944648136</v>
      </c>
      <c r="F96" s="39">
        <f>F95*E126</f>
        <v>-191.87234005341418</v>
      </c>
      <c r="G96" s="41"/>
      <c r="H96" s="41"/>
      <c r="I96" s="39"/>
      <c r="J96" s="62"/>
    </row>
    <row r="97" spans="1:10" ht="12" customHeight="1">
      <c r="A97" s="28">
        <v>97</v>
      </c>
      <c r="B97" s="61" t="s">
        <v>252</v>
      </c>
      <c r="C97" s="39">
        <f>C95*E127</f>
        <v>388.9306107195241</v>
      </c>
      <c r="D97" s="39">
        <f t="shared" si="0"/>
        <v>-29.55989236260215</v>
      </c>
      <c r="E97" s="39">
        <f>E95*E127</f>
        <v>338.30758944648136</v>
      </c>
      <c r="F97" s="39">
        <f>F95*E127</f>
        <v>-191.87234005341418</v>
      </c>
      <c r="G97" s="41"/>
      <c r="H97" s="41"/>
      <c r="I97" s="41"/>
      <c r="J97" s="41"/>
    </row>
    <row r="98" spans="1:10" ht="12" customHeight="1">
      <c r="A98" s="28">
        <v>98</v>
      </c>
      <c r="B98" s="61" t="s">
        <v>236</v>
      </c>
      <c r="C98" s="39">
        <f>SQRT(E98^2+F98^2)</f>
        <v>424.28826819698673</v>
      </c>
      <c r="D98" s="39">
        <f t="shared" si="0"/>
        <v>-29.494734570931055</v>
      </c>
      <c r="E98" s="39">
        <f>COS((D82+D95)/180*PI())*C82*C95</f>
        <v>369.30090981749225</v>
      </c>
      <c r="F98" s="39">
        <f>SIN((D82+D95)/180*PI())*C82*C95</f>
        <v>-208.8956020062907</v>
      </c>
      <c r="G98" s="40"/>
      <c r="H98" s="96"/>
      <c r="I98" s="39"/>
      <c r="J98" s="41"/>
    </row>
    <row r="99" spans="1:10" ht="12" customHeight="1">
      <c r="A99" s="28">
        <v>99</v>
      </c>
      <c r="B99" s="61" t="s">
        <v>237</v>
      </c>
      <c r="C99" s="39">
        <f>SQRT(E99^2+F99^2)</f>
        <v>353.5735568308222</v>
      </c>
      <c r="D99" s="39">
        <f t="shared" si="0"/>
        <v>-29.638081720022896</v>
      </c>
      <c r="E99" s="39">
        <f>COS((D81+D95)/180*PI())*C81*C95</f>
        <v>307.3142690754706</v>
      </c>
      <c r="F99" s="39">
        <f>SIN((D81+D95)/180*PI())*C81*C95</f>
        <v>-174.84907810053772</v>
      </c>
      <c r="G99" s="40"/>
      <c r="H99" s="96"/>
      <c r="I99" s="95"/>
      <c r="J99" s="41"/>
    </row>
    <row r="100" spans="1:10" ht="12" customHeight="1">
      <c r="A100" s="28">
        <v>100</v>
      </c>
      <c r="B100" s="48" t="s">
        <v>93</v>
      </c>
      <c r="C100" s="187">
        <f>SQRT(F100^2+E100^2)</f>
        <v>777.8612214390483</v>
      </c>
      <c r="D100" s="187">
        <f t="shared" si="0"/>
        <v>-29.55989236260215</v>
      </c>
      <c r="E100" s="187">
        <f>E98+E99</f>
        <v>676.6151788929628</v>
      </c>
      <c r="F100" s="187">
        <f>F98+F99</f>
        <v>-383.7446801068284</v>
      </c>
      <c r="G100" s="36"/>
      <c r="H100" s="36"/>
      <c r="I100" s="95"/>
      <c r="J100" s="60"/>
    </row>
    <row r="101" spans="1:10" ht="12" customHeight="1">
      <c r="A101" s="28">
        <v>101</v>
      </c>
      <c r="B101" s="48" t="s">
        <v>94</v>
      </c>
      <c r="C101" s="109">
        <f>SQRT(F101^2+E101^2)</f>
        <v>777.8612214390483</v>
      </c>
      <c r="D101" s="109">
        <f t="shared" si="0"/>
        <v>-29.55989236260215</v>
      </c>
      <c r="E101" s="109">
        <f>E165+E179</f>
        <v>676.6151788929628</v>
      </c>
      <c r="F101" s="109">
        <f>F165+F179</f>
        <v>-383.7446801068284</v>
      </c>
      <c r="G101" s="36"/>
      <c r="H101" s="36"/>
      <c r="I101" s="95"/>
      <c r="J101" s="60"/>
    </row>
    <row r="102" spans="1:10" s="20" customFormat="1" ht="12" customHeight="1">
      <c r="A102" s="28">
        <v>102</v>
      </c>
      <c r="B102" s="41"/>
      <c r="C102" s="41"/>
      <c r="D102" s="41"/>
      <c r="E102" s="41"/>
      <c r="F102" s="41"/>
      <c r="G102" s="41"/>
      <c r="H102" s="41"/>
      <c r="I102" s="60"/>
      <c r="J102" s="60"/>
    </row>
    <row r="103" spans="1:10" ht="12" customHeight="1">
      <c r="A103" s="28">
        <v>103</v>
      </c>
      <c r="B103" s="82" t="s">
        <v>85</v>
      </c>
      <c r="C103" s="75"/>
      <c r="D103" s="75"/>
      <c r="E103" s="76"/>
      <c r="F103" s="70"/>
      <c r="G103" s="70"/>
      <c r="H103" s="70"/>
      <c r="I103" s="70"/>
      <c r="J103" s="94"/>
    </row>
    <row r="104" spans="1:10" ht="12" customHeight="1">
      <c r="A104" s="28">
        <v>104</v>
      </c>
      <c r="B104" s="41"/>
      <c r="C104" s="36" t="s">
        <v>308</v>
      </c>
      <c r="D104" s="36" t="s">
        <v>309</v>
      </c>
      <c r="E104" s="151" t="s">
        <v>310</v>
      </c>
      <c r="F104" s="40" t="s">
        <v>311</v>
      </c>
      <c r="G104" s="40" t="s">
        <v>312</v>
      </c>
      <c r="H104" s="151" t="s">
        <v>313</v>
      </c>
      <c r="I104" s="40" t="s">
        <v>314</v>
      </c>
      <c r="J104" s="40" t="s">
        <v>315</v>
      </c>
    </row>
    <row r="105" spans="1:10" ht="12" customHeight="1">
      <c r="A105" s="28">
        <v>105</v>
      </c>
      <c r="B105" s="51" t="s">
        <v>11</v>
      </c>
      <c r="C105" s="39">
        <f>C3</f>
        <v>20</v>
      </c>
      <c r="D105" s="39">
        <f>C172</f>
        <v>14.697776751467202</v>
      </c>
      <c r="E105" s="155">
        <f>C165</f>
        <v>424.2882681970632</v>
      </c>
      <c r="F105" s="62">
        <f>E165</f>
        <v>369.3009098175801</v>
      </c>
      <c r="G105" s="62">
        <f>F165</f>
        <v>-208.8956020062907</v>
      </c>
      <c r="H105" s="155">
        <f>C167</f>
        <v>424.28826819698673</v>
      </c>
      <c r="I105" s="62">
        <f>E167</f>
        <v>369.30090981749225</v>
      </c>
      <c r="J105" s="62">
        <f>F167</f>
        <v>-208.8956020062907</v>
      </c>
    </row>
    <row r="106" spans="1:10" ht="12" customHeight="1">
      <c r="A106" s="28">
        <v>106</v>
      </c>
      <c r="B106" s="51" t="s">
        <v>19</v>
      </c>
      <c r="C106" s="39">
        <f>C8</f>
        <v>20</v>
      </c>
      <c r="D106" s="39">
        <f>C186</f>
        <v>12.248147292873876</v>
      </c>
      <c r="E106" s="155">
        <f>C179</f>
        <v>353.5735568307459</v>
      </c>
      <c r="F106" s="62">
        <f>E179</f>
        <v>307.31426907538275</v>
      </c>
      <c r="G106" s="62">
        <f>F179</f>
        <v>-174.84907810053772</v>
      </c>
      <c r="H106" s="155">
        <f>C181</f>
        <v>353.5735568308222</v>
      </c>
      <c r="I106" s="62">
        <f>E181</f>
        <v>307.3142690754706</v>
      </c>
      <c r="J106" s="62">
        <f>F181</f>
        <v>-174.84907810053772</v>
      </c>
    </row>
    <row r="107" spans="1:10" ht="12" customHeight="1">
      <c r="A107" s="28">
        <v>107</v>
      </c>
      <c r="B107" s="61" t="s">
        <v>53</v>
      </c>
      <c r="C107" s="50">
        <f aca="true" t="shared" si="1" ref="C107:J107">C105/C106</f>
        <v>1</v>
      </c>
      <c r="D107" s="50">
        <f t="shared" si="1"/>
        <v>1.2000000000015147</v>
      </c>
      <c r="E107" s="190">
        <f t="shared" si="1"/>
        <v>1.2000000000004756</v>
      </c>
      <c r="F107" s="50">
        <f t="shared" si="1"/>
        <v>1.2017044015843998</v>
      </c>
      <c r="G107" s="50">
        <f t="shared" si="1"/>
        <v>1.1947194933803214</v>
      </c>
      <c r="H107" s="190">
        <f t="shared" si="1"/>
        <v>1.2000000000000002</v>
      </c>
      <c r="I107" s="50">
        <f t="shared" si="1"/>
        <v>1.2017044015837708</v>
      </c>
      <c r="J107" s="50">
        <f t="shared" si="1"/>
        <v>1.1947194933803214</v>
      </c>
    </row>
    <row r="108" spans="1:10" ht="12" customHeight="1">
      <c r="A108" s="28">
        <v>108</v>
      </c>
      <c r="B108" s="61"/>
      <c r="C108" s="39"/>
      <c r="D108" s="56"/>
      <c r="E108" s="40"/>
      <c r="F108" s="62"/>
      <c r="G108" s="62"/>
      <c r="H108" s="62"/>
      <c r="I108" s="62"/>
      <c r="J108" s="62"/>
    </row>
    <row r="109" spans="1:10" ht="12" customHeight="1">
      <c r="A109" s="28">
        <v>109</v>
      </c>
      <c r="B109" s="82" t="s">
        <v>35</v>
      </c>
      <c r="C109" s="75"/>
      <c r="D109" s="75"/>
      <c r="E109" s="76"/>
      <c r="F109" s="70"/>
      <c r="G109" s="70"/>
      <c r="H109" s="69"/>
      <c r="I109" s="69"/>
      <c r="J109" s="69"/>
    </row>
    <row r="110" spans="1:10" ht="12" customHeight="1">
      <c r="A110" s="28">
        <v>110</v>
      </c>
      <c r="B110" s="97" t="s">
        <v>31</v>
      </c>
      <c r="C110" s="36" t="s">
        <v>174</v>
      </c>
      <c r="D110" s="36" t="s">
        <v>385</v>
      </c>
      <c r="E110" s="36" t="s">
        <v>208</v>
      </c>
      <c r="F110" s="36" t="s">
        <v>209</v>
      </c>
      <c r="G110" s="54"/>
      <c r="H110" s="44"/>
      <c r="I110" s="95" t="s">
        <v>92</v>
      </c>
      <c r="J110" s="62"/>
    </row>
    <row r="111" spans="1:10" ht="12" customHeight="1">
      <c r="A111" s="28">
        <v>111</v>
      </c>
      <c r="B111" s="48" t="s">
        <v>101</v>
      </c>
      <c r="C111" s="40">
        <f>SQRT(E111^2+F111^2)</f>
        <v>4.399996585781096</v>
      </c>
      <c r="D111" s="39">
        <f>ATAN2(E111,F111)*180/PI()</f>
        <v>87.78574658146488</v>
      </c>
      <c r="E111" s="40">
        <f>E31+E45</f>
        <v>0.17000000000000026</v>
      </c>
      <c r="F111" s="40">
        <f>F31+F45</f>
        <v>4.396711265808264</v>
      </c>
      <c r="G111" s="36"/>
      <c r="H111" s="36"/>
      <c r="I111" s="37" t="s">
        <v>351</v>
      </c>
      <c r="J111" s="118">
        <f>I3-I8</f>
        <v>-0.1433471490918521</v>
      </c>
    </row>
    <row r="112" spans="1:10" ht="12" customHeight="1">
      <c r="A112" s="28">
        <v>112</v>
      </c>
      <c r="B112" s="51" t="s">
        <v>194</v>
      </c>
      <c r="C112" s="44">
        <f>C77</f>
        <v>9.99911264898401E-12</v>
      </c>
      <c r="D112" s="39">
        <f>D77</f>
        <v>0</v>
      </c>
      <c r="E112" s="44">
        <f>E77</f>
        <v>9.99911264898401E-12</v>
      </c>
      <c r="F112" s="39">
        <f>F77</f>
        <v>0</v>
      </c>
      <c r="G112" s="41"/>
      <c r="H112" s="41"/>
      <c r="I112" s="41"/>
      <c r="J112" s="41"/>
    </row>
    <row r="113" spans="1:10" ht="12" customHeight="1">
      <c r="A113" s="28">
        <v>113</v>
      </c>
      <c r="B113" s="41"/>
      <c r="C113" s="41"/>
      <c r="D113" s="41"/>
      <c r="E113" s="41"/>
      <c r="F113" s="41"/>
      <c r="G113" s="41"/>
      <c r="H113" s="41"/>
      <c r="J113" s="41"/>
    </row>
    <row r="114" spans="1:10" ht="12" customHeight="1">
      <c r="A114" s="28">
        <v>114</v>
      </c>
      <c r="B114" s="172" t="s">
        <v>127</v>
      </c>
      <c r="C114" s="65" t="s">
        <v>29</v>
      </c>
      <c r="D114" s="65" t="s">
        <v>385</v>
      </c>
      <c r="E114" s="65" t="s">
        <v>228</v>
      </c>
      <c r="F114" s="65" t="s">
        <v>229</v>
      </c>
      <c r="G114" s="41"/>
      <c r="H114" s="41"/>
      <c r="I114" s="41"/>
      <c r="J114" s="41"/>
    </row>
    <row r="115" spans="1:10" ht="12" customHeight="1">
      <c r="A115" s="28">
        <v>115</v>
      </c>
      <c r="B115" s="173" t="s">
        <v>198</v>
      </c>
      <c r="C115" s="109">
        <f>SQRT(E115^2+F115^2)</f>
        <v>8.78022617952638E-11</v>
      </c>
      <c r="D115" s="109">
        <f>ATAN2(E115,F115)*180/PI()</f>
        <v>0</v>
      </c>
      <c r="E115" s="39">
        <f>COS((D77-D111)/180*PI())*C77*1000/C111</f>
        <v>8.78022617952638E-11</v>
      </c>
      <c r="F115" s="39">
        <f>ROUND((SIN((D77-D111)/180*PI())*C77*1000/C111),5)</f>
        <v>0</v>
      </c>
      <c r="G115" s="54" t="str">
        <f>IF(D115&gt;=0,"kapazitiv","induktiv")</f>
        <v>kapazitiv</v>
      </c>
      <c r="H115" s="36"/>
      <c r="I115" s="186" t="s">
        <v>352</v>
      </c>
      <c r="J115" s="41"/>
    </row>
    <row r="116" spans="1:10" ht="12" customHeight="1">
      <c r="A116" s="28">
        <v>116</v>
      </c>
      <c r="B116" s="173" t="s">
        <v>199</v>
      </c>
      <c r="C116" s="109">
        <f>SQRT(E116^2+F116^2)</f>
        <v>8.780226179526302E-11</v>
      </c>
      <c r="D116" s="109">
        <f>ATAN2(E116,F116)*180/PI()</f>
        <v>180</v>
      </c>
      <c r="E116" s="39">
        <f>COS((D78-D111)/180*PI())*C78*1000/C111</f>
        <v>-8.780226179526302E-11</v>
      </c>
      <c r="F116" s="39">
        <f>ROUND((SIN((D78-D111)/180*PI())*C78*1000/C111),5)</f>
        <v>0</v>
      </c>
      <c r="G116" s="54" t="str">
        <f>IF(D116&gt;=0,"kapazitiv","induktiv")</f>
        <v>kapazitiv</v>
      </c>
      <c r="H116" s="36"/>
      <c r="I116" s="41"/>
      <c r="J116" s="41"/>
    </row>
    <row r="117" spans="1:10" ht="12" customHeight="1">
      <c r="A117" s="28">
        <v>117</v>
      </c>
      <c r="B117" s="174"/>
      <c r="C117" s="41"/>
      <c r="D117" s="41"/>
      <c r="E117" s="41"/>
      <c r="F117" s="41"/>
      <c r="G117" s="41"/>
      <c r="H117" s="41"/>
      <c r="I117" s="41"/>
      <c r="J117" s="41"/>
    </row>
    <row r="118" spans="1:10" ht="12" customHeight="1">
      <c r="A118" s="28">
        <v>118</v>
      </c>
      <c r="B118" s="174"/>
      <c r="C118" s="41"/>
      <c r="D118" s="41"/>
      <c r="E118" s="41"/>
      <c r="F118" s="41"/>
      <c r="G118" s="41"/>
      <c r="H118" s="41"/>
      <c r="I118" s="41"/>
      <c r="J118" s="41"/>
    </row>
    <row r="119" spans="1:10" ht="12" customHeight="1">
      <c r="A119" s="28">
        <v>119</v>
      </c>
      <c r="B119" s="175" t="s">
        <v>128</v>
      </c>
      <c r="C119" s="65" t="s">
        <v>29</v>
      </c>
      <c r="D119" s="65" t="s">
        <v>385</v>
      </c>
      <c r="E119" s="65" t="s">
        <v>228</v>
      </c>
      <c r="F119" s="65" t="s">
        <v>229</v>
      </c>
      <c r="G119" s="54"/>
      <c r="H119" s="44"/>
      <c r="I119" s="41"/>
      <c r="J119" s="61"/>
    </row>
    <row r="120" spans="1:10" ht="12" customHeight="1">
      <c r="A120" s="28">
        <v>120</v>
      </c>
      <c r="B120" s="176" t="s">
        <v>164</v>
      </c>
      <c r="C120" s="39">
        <f>SQRT(E120^2+F120^2)</f>
        <v>424.2882681969868</v>
      </c>
      <c r="D120" s="39">
        <f>ATAN2(E120,F120)*180/PI()</f>
        <v>-29.494734570931055</v>
      </c>
      <c r="E120" s="39">
        <f>COS((D95+D82)/180*PI())*C95*C82</f>
        <v>369.3009098174923</v>
      </c>
      <c r="F120" s="39">
        <f>SIN((D95+D82)/180*PI())*C95*C82</f>
        <v>-208.8956020062907</v>
      </c>
      <c r="G120" s="41"/>
      <c r="H120" s="41"/>
      <c r="I120" s="41"/>
      <c r="J120" s="40"/>
    </row>
    <row r="121" spans="1:10" ht="12" customHeight="1">
      <c r="A121" s="28">
        <v>121</v>
      </c>
      <c r="B121" s="176" t="s">
        <v>165</v>
      </c>
      <c r="C121" s="109">
        <f>SQRT(E121^2+F121^2)</f>
        <v>0</v>
      </c>
      <c r="D121" s="109" t="e">
        <f>ATAN2(E121,F121)*180/PI()</f>
        <v>#DIV/0!</v>
      </c>
      <c r="E121" s="39">
        <f>ROUND((E165-E120),5)</f>
        <v>0</v>
      </c>
      <c r="F121" s="39">
        <f>ROUND((F165-F120),5)</f>
        <v>0</v>
      </c>
      <c r="G121" s="54" t="e">
        <f>IF(D121&gt;=0,"kapazitiv","induktiv")</f>
        <v>#DIV/0!</v>
      </c>
      <c r="H121" s="36"/>
      <c r="I121" s="41"/>
      <c r="J121" s="41"/>
    </row>
    <row r="122" spans="1:10" ht="12" customHeight="1">
      <c r="A122" s="28">
        <v>122</v>
      </c>
      <c r="B122" s="176" t="s">
        <v>166</v>
      </c>
      <c r="C122" s="73">
        <f>SQRT(E122^2+F122^2)</f>
        <v>353.5735568308222</v>
      </c>
      <c r="D122" s="73">
        <f>ATAN2(E122,F122)*180/PI()</f>
        <v>-29.638081720022896</v>
      </c>
      <c r="E122" s="73">
        <f>COS((D95+D81)/180*PI())*C95*C81</f>
        <v>307.3142690754706</v>
      </c>
      <c r="F122" s="73">
        <f>SIN((D95+D81)/180*PI())*C95*C81</f>
        <v>-174.84907810053772</v>
      </c>
      <c r="G122" s="54"/>
      <c r="H122" s="36"/>
      <c r="I122" s="41"/>
      <c r="J122" s="41"/>
    </row>
    <row r="123" spans="1:10" ht="12" customHeight="1">
      <c r="A123" s="28">
        <v>123</v>
      </c>
      <c r="B123" s="176" t="s">
        <v>167</v>
      </c>
      <c r="C123" s="109">
        <f>SQRT(E123^2+F123^2)</f>
        <v>0</v>
      </c>
      <c r="D123" s="109" t="e">
        <f>ATAN2(E123,F123)*180/PI()</f>
        <v>#DIV/0!</v>
      </c>
      <c r="E123" s="39">
        <f>ROUND((E179-E122),5)</f>
        <v>0</v>
      </c>
      <c r="F123" s="39">
        <f>ROUND((F179-F122),5)</f>
        <v>0</v>
      </c>
      <c r="G123" s="54" t="e">
        <f>IF(D123&gt;=0,"kapazitiv","induktiv")</f>
        <v>#DIV/0!</v>
      </c>
      <c r="H123" s="36"/>
      <c r="I123" s="41"/>
      <c r="J123" s="41"/>
    </row>
    <row r="124" spans="1:10" ht="12" customHeight="1">
      <c r="A124" s="28">
        <v>124</v>
      </c>
      <c r="B124" s="173"/>
      <c r="C124" s="41"/>
      <c r="D124" s="41"/>
      <c r="E124" s="41"/>
      <c r="F124" s="41"/>
      <c r="G124" s="41"/>
      <c r="H124" s="41"/>
      <c r="I124" s="41"/>
      <c r="J124" s="41"/>
    </row>
    <row r="125" spans="1:10" ht="12" customHeight="1">
      <c r="A125" s="28">
        <v>125</v>
      </c>
      <c r="B125" s="64" t="s">
        <v>305</v>
      </c>
      <c r="C125" s="65" t="s">
        <v>29</v>
      </c>
      <c r="D125" s="79"/>
      <c r="E125" s="99" t="s">
        <v>48</v>
      </c>
      <c r="F125" s="174"/>
      <c r="G125" s="79"/>
      <c r="H125" s="100" t="s">
        <v>306</v>
      </c>
      <c r="I125" s="65" t="s">
        <v>29</v>
      </c>
      <c r="J125" s="79"/>
    </row>
    <row r="126" spans="1:10" ht="12" customHeight="1">
      <c r="A126" s="28">
        <v>126</v>
      </c>
      <c r="B126" s="51" t="s">
        <v>153</v>
      </c>
      <c r="C126" s="119">
        <f>F165-(F95*E126)</f>
        <v>-17.02326195287651</v>
      </c>
      <c r="D126" s="54" t="str">
        <f>IF(C126&gt;=0,"positiv","negativ")</f>
        <v>negativ</v>
      </c>
      <c r="E126" s="40">
        <f>C3/(C3+C8)</f>
        <v>0.5</v>
      </c>
      <c r="F126" s="41"/>
      <c r="G126" s="60"/>
      <c r="H126" s="61" t="s">
        <v>156</v>
      </c>
      <c r="I126" s="109">
        <f>0.5*(F165-F179)</f>
        <v>-17.02326195287648</v>
      </c>
      <c r="J126" s="54" t="str">
        <f>IF(I126&gt;=0,"positiv","negativ")</f>
        <v>negativ</v>
      </c>
    </row>
    <row r="127" spans="1:10" ht="12" customHeight="1">
      <c r="A127" s="28">
        <v>127</v>
      </c>
      <c r="B127" s="51" t="s">
        <v>154</v>
      </c>
      <c r="C127" s="119">
        <f>F179-(F95*E127)</f>
        <v>17.023261952876453</v>
      </c>
      <c r="D127" s="54" t="str">
        <f>IF(C127&gt;=0,"positiv","negativ")</f>
        <v>positiv</v>
      </c>
      <c r="E127" s="40">
        <f>C8/(C3+C8)</f>
        <v>0.5</v>
      </c>
      <c r="F127" s="41"/>
      <c r="G127" s="44"/>
      <c r="H127" s="61" t="s">
        <v>157</v>
      </c>
      <c r="I127" s="109">
        <f>0.5*(F179-F165)</f>
        <v>17.02326195287648</v>
      </c>
      <c r="J127" s="54" t="str">
        <f>IF(I127&gt;=0,"positiv","negativ")</f>
        <v>positiv</v>
      </c>
    </row>
    <row r="128" spans="1:10" ht="12" customHeight="1">
      <c r="A128" s="28">
        <v>128</v>
      </c>
      <c r="B128" s="51" t="s">
        <v>168</v>
      </c>
      <c r="C128" s="195" t="e">
        <f>C126/C121</f>
        <v>#DIV/0!</v>
      </c>
      <c r="D128" s="98"/>
      <c r="E128" s="62"/>
      <c r="F128" s="98"/>
      <c r="G128" s="191" t="s">
        <v>169</v>
      </c>
      <c r="H128" s="194" t="e">
        <f>I126/C121</f>
        <v>#DIV/0!</v>
      </c>
      <c r="J128" s="41"/>
    </row>
    <row r="129" spans="1:10" ht="12" customHeight="1">
      <c r="A129" s="28">
        <v>129</v>
      </c>
      <c r="B129" s="41"/>
      <c r="C129" s="41"/>
      <c r="D129" s="41"/>
      <c r="E129" s="41"/>
      <c r="F129" s="41"/>
      <c r="G129" s="41"/>
      <c r="H129" s="41"/>
      <c r="I129" s="41"/>
      <c r="J129" s="41"/>
    </row>
    <row r="130" spans="1:10" ht="12" customHeight="1">
      <c r="A130" s="28">
        <v>130</v>
      </c>
      <c r="B130" s="101" t="s">
        <v>335</v>
      </c>
      <c r="C130" s="83"/>
      <c r="D130" s="102"/>
      <c r="E130" s="70"/>
      <c r="F130" s="70"/>
      <c r="G130" s="67"/>
      <c r="H130" s="70"/>
      <c r="I130" s="70"/>
      <c r="J130" s="94"/>
    </row>
    <row r="131" spans="1:10" ht="12" customHeight="1">
      <c r="A131" s="28">
        <v>131</v>
      </c>
      <c r="B131" s="104"/>
      <c r="C131" s="36" t="s">
        <v>221</v>
      </c>
      <c r="D131" s="36" t="s">
        <v>385</v>
      </c>
      <c r="E131" s="36" t="s">
        <v>230</v>
      </c>
      <c r="F131" s="36" t="s">
        <v>231</v>
      </c>
      <c r="G131" s="41"/>
      <c r="H131" s="44"/>
      <c r="I131" s="51" t="s">
        <v>329</v>
      </c>
      <c r="J131" s="62">
        <f>C132-C75*1000</f>
        <v>-423.58991721959137</v>
      </c>
    </row>
    <row r="132" spans="1:10" ht="12" customHeight="1">
      <c r="A132" s="28">
        <v>132</v>
      </c>
      <c r="B132" s="61" t="s">
        <v>200</v>
      </c>
      <c r="C132" s="120">
        <f>SQRT(E132^2+F132^2)</f>
        <v>11123.415466582925</v>
      </c>
      <c r="D132" s="109">
        <f>ATAN2(E132,F132)*180/PI()</f>
        <v>-3.717959599434454</v>
      </c>
      <c r="E132" s="62">
        <f>E75*1000-E134</f>
        <v>11100.004473767985</v>
      </c>
      <c r="F132" s="62">
        <f>F75*1000-F134</f>
        <v>-721.2990534770953</v>
      </c>
      <c r="G132" s="41"/>
      <c r="H132" s="41"/>
      <c r="I132" s="51" t="s">
        <v>324</v>
      </c>
      <c r="J132" s="63">
        <f>J131/(C75*10)</f>
        <v>-3.6683962909879586</v>
      </c>
    </row>
    <row r="133" spans="1:10" ht="12" customHeight="1">
      <c r="A133" s="28">
        <v>133</v>
      </c>
      <c r="B133" s="61" t="s">
        <v>180</v>
      </c>
      <c r="C133" s="87">
        <f>C132*SQRT(3)</f>
        <v>19266.320741819094</v>
      </c>
      <c r="D133" s="84">
        <f>D132+30</f>
        <v>26.282040400565545</v>
      </c>
      <c r="E133" s="105" t="s">
        <v>150</v>
      </c>
      <c r="F133" s="36"/>
      <c r="H133" s="41"/>
      <c r="I133" s="74" t="s">
        <v>371</v>
      </c>
      <c r="J133" s="99">
        <f>C165*(D5*G58+E5*H58)</f>
        <v>400.1386649026391</v>
      </c>
    </row>
    <row r="134" spans="1:10" ht="12" customHeight="1">
      <c r="A134" s="28">
        <v>134</v>
      </c>
      <c r="B134" s="61" t="s">
        <v>155</v>
      </c>
      <c r="C134" s="62">
        <f>SQRT(E134^2+F134^2)</f>
        <v>848.5765363941264</v>
      </c>
      <c r="D134" s="39">
        <f>ATAN2(E134,F134)*180/PI()</f>
        <v>58.212822653118906</v>
      </c>
      <c r="E134" s="62">
        <f>COS((D165+D23)/180*PI())*C165*C23</f>
        <v>447.0009100345307</v>
      </c>
      <c r="F134" s="62">
        <f>SIN((D165+D23)/180*PI())*C165*C23</f>
        <v>721.2990534770953</v>
      </c>
      <c r="G134" s="36"/>
      <c r="I134" s="51" t="s">
        <v>324</v>
      </c>
      <c r="J134" s="63">
        <f>J133/(C75*10)</f>
        <v>3.4653024884177412</v>
      </c>
    </row>
    <row r="135" spans="1:10" ht="12" customHeight="1">
      <c r="A135" s="28">
        <v>135</v>
      </c>
      <c r="B135" s="61"/>
      <c r="C135" s="65" t="s">
        <v>221</v>
      </c>
      <c r="D135" s="65" t="s">
        <v>385</v>
      </c>
      <c r="E135" s="65" t="s">
        <v>230</v>
      </c>
      <c r="F135" s="65" t="s">
        <v>231</v>
      </c>
      <c r="G135" s="41"/>
      <c r="H135" s="41"/>
      <c r="I135" s="41"/>
      <c r="J135" s="41"/>
    </row>
    <row r="136" spans="1:10" ht="12" customHeight="1">
      <c r="A136" s="28">
        <v>136</v>
      </c>
      <c r="B136" s="61" t="s">
        <v>201</v>
      </c>
      <c r="C136" s="120">
        <f>SQRT(E136^2+F136^2)</f>
        <v>11123.415466572937</v>
      </c>
      <c r="D136" s="109">
        <f>ATAN2(E136,F136)*180/PI()</f>
        <v>-3.7179595994358032</v>
      </c>
      <c r="E136" s="62">
        <f>E76*1000-E138</f>
        <v>11100.004473758001</v>
      </c>
      <c r="F136" s="62">
        <f>F76*1000-F138</f>
        <v>-721.2990534767089</v>
      </c>
      <c r="G136" s="104"/>
      <c r="H136" s="36"/>
      <c r="I136" s="51" t="s">
        <v>330</v>
      </c>
      <c r="J136" s="62">
        <f>C136-C76*1000</f>
        <v>-423.58991721958046</v>
      </c>
    </row>
    <row r="137" spans="1:10" ht="12" customHeight="1">
      <c r="A137" s="28">
        <v>137</v>
      </c>
      <c r="B137" s="61" t="s">
        <v>181</v>
      </c>
      <c r="C137" s="87">
        <f>C136*SQRT(3)</f>
        <v>19266.320741801792</v>
      </c>
      <c r="D137" s="84">
        <f>D136+30</f>
        <v>26.282040400564195</v>
      </c>
      <c r="E137" s="105" t="s">
        <v>150</v>
      </c>
      <c r="F137" s="36"/>
      <c r="G137" s="41"/>
      <c r="H137" s="36"/>
      <c r="I137" s="51" t="s">
        <v>325</v>
      </c>
      <c r="J137" s="63">
        <f>J136/(C76*10)</f>
        <v>-3.6683962909910406</v>
      </c>
    </row>
    <row r="138" spans="1:10" ht="12" customHeight="1">
      <c r="A138" s="28">
        <v>138</v>
      </c>
      <c r="B138" s="61" t="s">
        <v>158</v>
      </c>
      <c r="C138" s="62">
        <f>SQRT(E138^2+F138^2)</f>
        <v>848.57653639379</v>
      </c>
      <c r="D138" s="39">
        <f>ATAN2(E138,F138)*180/PI()</f>
        <v>58.212822653106045</v>
      </c>
      <c r="E138" s="62">
        <f>COS((D179+D37)/180*PI())*C179*C37</f>
        <v>447.00091003451547</v>
      </c>
      <c r="F138" s="62">
        <f>SIN((D179+D37)/180*PI())*C179*C37</f>
        <v>721.2990534767089</v>
      </c>
      <c r="G138" s="36"/>
      <c r="H138" s="41"/>
      <c r="I138" s="74" t="s">
        <v>371</v>
      </c>
      <c r="J138" s="99">
        <f>C179*(D10*G58+E10*H58)</f>
        <v>398.2652273566759</v>
      </c>
    </row>
    <row r="139" spans="1:10" ht="12" customHeight="1">
      <c r="A139" s="28">
        <v>139</v>
      </c>
      <c r="B139" s="196" t="s">
        <v>360</v>
      </c>
      <c r="C139" s="41"/>
      <c r="D139" s="41"/>
      <c r="E139" s="41"/>
      <c r="F139" s="41"/>
      <c r="G139" s="41"/>
      <c r="H139" s="36"/>
      <c r="I139" s="51" t="s">
        <v>324</v>
      </c>
      <c r="J139" s="63">
        <f>J138/(C76*10)</f>
        <v>3.4490780433486647</v>
      </c>
    </row>
    <row r="140" spans="1:10" ht="12" customHeight="1">
      <c r="A140" s="28">
        <v>140</v>
      </c>
      <c r="B140" s="196"/>
      <c r="C140" s="41"/>
      <c r="D140" s="41"/>
      <c r="E140" s="41"/>
      <c r="F140" s="41"/>
      <c r="G140" s="41"/>
      <c r="H140" s="36"/>
      <c r="I140" s="51"/>
      <c r="J140" s="63"/>
    </row>
    <row r="141" spans="1:10" ht="12" customHeight="1">
      <c r="A141" s="28">
        <v>141</v>
      </c>
      <c r="B141" s="103" t="s">
        <v>84</v>
      </c>
      <c r="C141" s="83"/>
      <c r="D141" s="102"/>
      <c r="E141" s="70"/>
      <c r="F141" s="70"/>
      <c r="G141" s="67"/>
      <c r="H141" s="69"/>
      <c r="I141" s="70"/>
      <c r="J141" s="94"/>
    </row>
    <row r="142" spans="1:10" ht="12" customHeight="1">
      <c r="A142" s="28">
        <v>142</v>
      </c>
      <c r="B142" s="41"/>
      <c r="C142" s="36" t="s">
        <v>29</v>
      </c>
      <c r="D142" s="36" t="s">
        <v>385</v>
      </c>
      <c r="E142" s="36" t="s">
        <v>228</v>
      </c>
      <c r="F142" s="36" t="s">
        <v>229</v>
      </c>
      <c r="G142" s="54"/>
      <c r="H142" s="41"/>
      <c r="I142" s="41"/>
      <c r="J142" s="41"/>
    </row>
    <row r="143" spans="1:10" ht="12" customHeight="1">
      <c r="A143" s="28">
        <v>143</v>
      </c>
      <c r="B143" s="48" t="s">
        <v>202</v>
      </c>
      <c r="C143" s="62">
        <f aca="true" t="shared" si="2" ref="C143:C148">SQRT(E143^2+F143^2)</f>
        <v>5773.502691901257</v>
      </c>
      <c r="D143" s="39">
        <f aca="true" t="shared" si="3" ref="D143:D148">ATAN2(E143,F143)*180/PI()</f>
        <v>-87.70755722404412</v>
      </c>
      <c r="E143" s="62">
        <f>(COS((D75-D31)/180*PI())*C75/C31)*1000</f>
        <v>230.94010767604965</v>
      </c>
      <c r="F143" s="62">
        <f>(SIN((D75-D31)/180*PI())*C75/C31)*1000</f>
        <v>-5768.882040747379</v>
      </c>
      <c r="G143" s="36"/>
      <c r="H143" s="36"/>
      <c r="I143" s="95"/>
      <c r="J143" s="41"/>
    </row>
    <row r="144" spans="1:10" ht="12" customHeight="1">
      <c r="A144" s="28">
        <v>144</v>
      </c>
      <c r="B144" s="48" t="s">
        <v>203</v>
      </c>
      <c r="C144" s="62">
        <f t="shared" si="2"/>
        <v>4811.252243246882</v>
      </c>
      <c r="D144" s="39">
        <f t="shared" si="3"/>
        <v>-87.85090437313598</v>
      </c>
      <c r="E144" s="62">
        <f>(COS((D76-D45)/180*PI())*C76/C45)*1000</f>
        <v>180.42195912175876</v>
      </c>
      <c r="F144" s="62">
        <f>(SIN((D76-D45)/180*PI())*C76/C45)*1000</f>
        <v>-4807.868141371478</v>
      </c>
      <c r="G144" s="36"/>
      <c r="H144" s="36"/>
      <c r="I144" s="48"/>
      <c r="J144" s="89"/>
    </row>
    <row r="145" spans="1:10" ht="12" customHeight="1">
      <c r="A145" s="28">
        <v>145</v>
      </c>
      <c r="B145" s="48" t="s">
        <v>204</v>
      </c>
      <c r="C145" s="62">
        <f t="shared" si="2"/>
        <v>10584.746721813963</v>
      </c>
      <c r="D145" s="39">
        <f t="shared" si="3"/>
        <v>-87.77271501571519</v>
      </c>
      <c r="E145" s="62">
        <f>E143+E144</f>
        <v>411.36206679780844</v>
      </c>
      <c r="F145" s="62">
        <f>F143+F144</f>
        <v>-10576.750182118856</v>
      </c>
      <c r="G145" s="36"/>
      <c r="H145" s="36"/>
      <c r="I145" s="48"/>
      <c r="J145" s="61"/>
    </row>
    <row r="146" spans="1:10" ht="12" customHeight="1">
      <c r="A146" s="28">
        <v>146</v>
      </c>
      <c r="B146" s="48" t="s">
        <v>205</v>
      </c>
      <c r="C146" s="62">
        <f t="shared" si="2"/>
        <v>10196.456265660321</v>
      </c>
      <c r="D146" s="39">
        <f t="shared" si="3"/>
        <v>-91.49067461515024</v>
      </c>
      <c r="E146" s="62">
        <f>E145-E95</f>
        <v>-265.2531120951543</v>
      </c>
      <c r="F146" s="62">
        <f>F145-F95</f>
        <v>-10193.005502012027</v>
      </c>
      <c r="G146" s="36"/>
      <c r="H146" s="52" t="s">
        <v>101</v>
      </c>
      <c r="I146" s="41"/>
      <c r="J146" s="41"/>
    </row>
    <row r="147" spans="1:10" ht="12" customHeight="1">
      <c r="A147" s="28">
        <v>147</v>
      </c>
      <c r="B147" s="48" t="s">
        <v>159</v>
      </c>
      <c r="C147" s="40">
        <f t="shared" si="2"/>
        <v>4.8</v>
      </c>
      <c r="D147" s="40">
        <f t="shared" si="3"/>
        <v>175.5584615971801</v>
      </c>
      <c r="E147" s="40">
        <f>COS((D31+D45)/180*PI())*C31*C45</f>
        <v>-4.785584977442656</v>
      </c>
      <c r="F147" s="40">
        <f>SIN((D31+D45)/180*PI())*C31*C45</f>
        <v>0.37172089485953613</v>
      </c>
      <c r="G147" s="36"/>
      <c r="H147" s="41"/>
      <c r="I147" s="41"/>
      <c r="J147" s="41"/>
    </row>
    <row r="148" spans="1:10" ht="12" customHeight="1">
      <c r="A148" s="28">
        <v>148</v>
      </c>
      <c r="B148" s="48" t="s">
        <v>170</v>
      </c>
      <c r="C148" s="39">
        <f t="shared" si="2"/>
        <v>1.0909099374103024</v>
      </c>
      <c r="D148" s="39">
        <f t="shared" si="3"/>
        <v>87.7727150157152</v>
      </c>
      <c r="E148" s="39">
        <f>(COS((D147-D111)/180*PI())*C147/C111)</f>
        <v>0.04239676001113212</v>
      </c>
      <c r="F148" s="39">
        <f>(SIN((D147-D111)/180*PI())*C147/C111)</f>
        <v>1.0900857793224845</v>
      </c>
      <c r="G148" s="36"/>
      <c r="H148" s="36"/>
      <c r="I148" s="104" t="s">
        <v>331</v>
      </c>
      <c r="J148" s="41"/>
    </row>
    <row r="149" spans="1:10" ht="12" customHeight="1">
      <c r="A149" s="28">
        <v>149</v>
      </c>
      <c r="B149" s="104" t="s">
        <v>114</v>
      </c>
      <c r="C149" s="65" t="s">
        <v>149</v>
      </c>
      <c r="D149" s="65" t="s">
        <v>385</v>
      </c>
      <c r="E149" s="65" t="s">
        <v>230</v>
      </c>
      <c r="F149" s="65" t="s">
        <v>231</v>
      </c>
      <c r="G149" s="41"/>
      <c r="H149" s="41"/>
      <c r="I149" s="36" t="s">
        <v>149</v>
      </c>
      <c r="J149" s="36" t="s">
        <v>385</v>
      </c>
    </row>
    <row r="150" spans="1:10" ht="12" customHeight="1">
      <c r="A150" s="28">
        <v>150</v>
      </c>
      <c r="B150" s="48" t="s">
        <v>177</v>
      </c>
      <c r="C150" s="120">
        <f>SQRT(E150^2+F150^2)</f>
        <v>11123.415466578388</v>
      </c>
      <c r="D150" s="109">
        <f>ATAN2(E150,F150)*180/PI()</f>
        <v>-3.717959599435033</v>
      </c>
      <c r="E150" s="62">
        <f>COS((D146+D148)/180*PI())*C146*C148</f>
        <v>11100.004473763449</v>
      </c>
      <c r="F150" s="62">
        <f>SIN((D146+D148)/180*PI())*C146*C148</f>
        <v>-721.2990534769131</v>
      </c>
      <c r="G150" s="41"/>
      <c r="H150" s="36"/>
      <c r="I150" s="62">
        <f>C150*SQRT(3)</f>
        <v>19266.320741811236</v>
      </c>
      <c r="J150" s="39">
        <f>D150+30</f>
        <v>26.282040400564966</v>
      </c>
    </row>
    <row r="151" spans="1:10" ht="12" customHeight="1">
      <c r="A151" s="28">
        <v>151</v>
      </c>
      <c r="B151" s="48" t="s">
        <v>178</v>
      </c>
      <c r="C151" s="62">
        <f>SQRT(E151^2+F151^2)</f>
        <v>11123.41546657839</v>
      </c>
      <c r="D151" s="39">
        <f>ATAN2(E151,F151)*180/PI()</f>
        <v>-3.7179595994350225</v>
      </c>
      <c r="E151" s="62">
        <f>COS((D95+D52)/180*PI())*C95*C52</f>
        <v>11100.004473763453</v>
      </c>
      <c r="F151" s="62">
        <f>SIN((D95+D52)/180*PI())*C95*C52</f>
        <v>-721.2990534769114</v>
      </c>
      <c r="G151" s="104"/>
      <c r="H151" s="36"/>
      <c r="I151" s="62">
        <f>C151*SQRT(3)</f>
        <v>19266.32074181124</v>
      </c>
      <c r="J151" s="39">
        <f>D151+30</f>
        <v>26.282040400564977</v>
      </c>
    </row>
    <row r="152" spans="1:10" ht="12" customHeight="1">
      <c r="A152" s="28">
        <v>152</v>
      </c>
      <c r="B152" s="48" t="s">
        <v>179</v>
      </c>
      <c r="C152" s="62" t="e">
        <f>SQRT(E152^2+F152^2)</f>
        <v>#DIV/0!</v>
      </c>
      <c r="D152" s="39" t="e">
        <f>ATAN2(E152,F152)*180/PI()</f>
        <v>#DIV/0!</v>
      </c>
      <c r="E152" s="62" t="e">
        <f>COS((D95+D55)/180*PI())*C95*C55</f>
        <v>#DIV/0!</v>
      </c>
      <c r="F152" s="62" t="e">
        <f>(SIN((D95+D55)/180*PI())*C95*C55)</f>
        <v>#DIV/0!</v>
      </c>
      <c r="G152" s="104"/>
      <c r="H152" s="36"/>
      <c r="I152" s="62" t="e">
        <f>C152*SQRT(3)</f>
        <v>#DIV/0!</v>
      </c>
      <c r="J152" s="39" t="e">
        <f>D152+30</f>
        <v>#DIV/0!</v>
      </c>
    </row>
    <row r="153" spans="1:10" ht="12" customHeight="1">
      <c r="A153" s="28">
        <v>153</v>
      </c>
      <c r="B153" s="196" t="s">
        <v>360</v>
      </c>
      <c r="C153" s="41"/>
      <c r="D153" s="41"/>
      <c r="E153" s="41"/>
      <c r="F153" s="41"/>
      <c r="G153" s="41"/>
      <c r="H153" s="41"/>
      <c r="I153" s="41"/>
      <c r="J153" s="41"/>
    </row>
    <row r="154" spans="1:10" ht="12" customHeight="1">
      <c r="A154" s="28">
        <v>154</v>
      </c>
      <c r="B154" s="196"/>
      <c r="C154" s="41"/>
      <c r="D154" s="41"/>
      <c r="E154" s="41"/>
      <c r="F154" s="41"/>
      <c r="G154" s="41"/>
      <c r="H154" s="41"/>
      <c r="I154" s="41"/>
      <c r="J154" s="41"/>
    </row>
    <row r="155" spans="1:10" ht="12" customHeight="1">
      <c r="A155" s="28">
        <v>155</v>
      </c>
      <c r="B155" s="103" t="s">
        <v>83</v>
      </c>
      <c r="C155" s="83"/>
      <c r="D155" s="102"/>
      <c r="E155" s="70"/>
      <c r="F155" s="70"/>
      <c r="G155" s="67"/>
      <c r="H155" s="69"/>
      <c r="I155" s="70"/>
      <c r="J155" s="94"/>
    </row>
    <row r="156" spans="1:10" ht="12" customHeight="1">
      <c r="A156" s="28">
        <v>156</v>
      </c>
      <c r="B156" s="121" t="s">
        <v>114</v>
      </c>
      <c r="C156" s="36" t="s">
        <v>149</v>
      </c>
      <c r="D156" s="36" t="s">
        <v>385</v>
      </c>
      <c r="E156" s="36" t="s">
        <v>230</v>
      </c>
      <c r="F156" s="36" t="s">
        <v>231</v>
      </c>
      <c r="G156" s="54"/>
      <c r="H156" s="36" t="s">
        <v>339</v>
      </c>
      <c r="I156" s="96" t="s">
        <v>341</v>
      </c>
      <c r="J156" s="41"/>
    </row>
    <row r="157" spans="1:10" ht="12" customHeight="1">
      <c r="A157" s="28">
        <v>157</v>
      </c>
      <c r="B157" s="61" t="s">
        <v>102</v>
      </c>
      <c r="C157" s="39">
        <f>SQRT(E157^2+F157^2)</f>
        <v>4.540218515913503E-09</v>
      </c>
      <c r="D157" s="39">
        <f>ATAN2(E157,F157)*180/PI()</f>
        <v>-2.3004154357379174</v>
      </c>
      <c r="E157" s="146">
        <f>E132-E150</f>
        <v>4.536559572443366E-09</v>
      </c>
      <c r="F157" s="146">
        <f>F132-F150</f>
        <v>-1.822400008677505E-10</v>
      </c>
      <c r="G157" s="36"/>
      <c r="H157" s="40">
        <f>C27</f>
        <v>0</v>
      </c>
      <c r="I157" s="40">
        <f>(C157/C132)*100</f>
        <v>4.0816766482860164E-11</v>
      </c>
      <c r="J157" s="41"/>
    </row>
    <row r="158" spans="1:10" ht="12" customHeight="1">
      <c r="A158" s="28">
        <v>158</v>
      </c>
      <c r="B158" s="61" t="s">
        <v>160</v>
      </c>
      <c r="C158" s="39" t="e">
        <f>SQRT(E158^2+F158^2)</f>
        <v>#DIV/0!</v>
      </c>
      <c r="D158" s="39" t="e">
        <f>ATAN2(E158,F158)*180/PI()</f>
        <v>#DIV/0!</v>
      </c>
      <c r="E158" s="146" t="e">
        <f>COS((D27+D165)/180*PI())*C27*C165</f>
        <v>#DIV/0!</v>
      </c>
      <c r="F158" s="146" t="e">
        <f>SIN((D27+D165)/180*PI())*C27*C165</f>
        <v>#DIV/0!</v>
      </c>
      <c r="G158" s="36"/>
      <c r="H158" s="41"/>
      <c r="I158" s="41"/>
      <c r="J158" s="41"/>
    </row>
    <row r="159" spans="1:10" ht="12" customHeight="1">
      <c r="A159" s="28">
        <v>159</v>
      </c>
      <c r="B159" s="61" t="s">
        <v>103</v>
      </c>
      <c r="C159" s="73">
        <f>SQRT(E159^2+F159^2)</f>
        <v>5.451698194703345E-09</v>
      </c>
      <c r="D159" s="73">
        <f>ATAN2(E159,F159)*180/PI()</f>
        <v>177.85360854843714</v>
      </c>
      <c r="E159" s="183">
        <f>E136-E150</f>
        <v>-5.44787326361984E-09</v>
      </c>
      <c r="F159" s="183">
        <f>F136-F150</f>
        <v>2.041815605480224E-10</v>
      </c>
      <c r="G159" s="36"/>
      <c r="H159" s="36" t="s">
        <v>340</v>
      </c>
      <c r="I159" s="96" t="s">
        <v>342</v>
      </c>
      <c r="J159" s="41"/>
    </row>
    <row r="160" spans="1:10" ht="12" customHeight="1">
      <c r="A160" s="28">
        <v>160</v>
      </c>
      <c r="B160" s="61" t="s">
        <v>161</v>
      </c>
      <c r="C160" s="39" t="e">
        <f>SQRT(E160^2+F160^2)</f>
        <v>#DIV/0!</v>
      </c>
      <c r="D160" s="39" t="e">
        <f>ATAN2(E160,F160)*180/PI()</f>
        <v>#DIV/0!</v>
      </c>
      <c r="E160" s="146" t="e">
        <f>COS((D41+D179)/180*PI())*C41*C179</f>
        <v>#DIV/0!</v>
      </c>
      <c r="F160" s="146" t="e">
        <f>SIN((D41+D179)/180*PI())*C41*C179</f>
        <v>#DIV/0!</v>
      </c>
      <c r="G160" s="36"/>
      <c r="H160" s="40">
        <f>C41</f>
        <v>0</v>
      </c>
      <c r="I160" s="40" t="e">
        <f>(C160/C136)*100</f>
        <v>#DIV/0!</v>
      </c>
      <c r="J160" s="41"/>
    </row>
    <row r="161" spans="1:10" ht="12" customHeight="1">
      <c r="A161" s="28">
        <v>161</v>
      </c>
      <c r="B161" s="196" t="s">
        <v>360</v>
      </c>
      <c r="C161" s="56"/>
      <c r="D161" s="55"/>
      <c r="E161" s="61"/>
      <c r="F161" s="61"/>
      <c r="G161" s="36"/>
      <c r="H161" s="36"/>
      <c r="I161" s="40"/>
      <c r="J161" s="39"/>
    </row>
    <row r="162" spans="1:10" ht="12" customHeight="1">
      <c r="A162" s="28">
        <v>162</v>
      </c>
      <c r="B162" s="196"/>
      <c r="C162" s="56"/>
      <c r="D162" s="55"/>
      <c r="E162" s="61"/>
      <c r="F162" s="61"/>
      <c r="G162" s="36"/>
      <c r="H162" s="36"/>
      <c r="I162" s="40"/>
      <c r="J162" s="39"/>
    </row>
    <row r="163" spans="1:10" ht="12" customHeight="1">
      <c r="A163" s="28">
        <v>163</v>
      </c>
      <c r="B163" s="122" t="s">
        <v>86</v>
      </c>
      <c r="C163" s="69"/>
      <c r="D163" s="69"/>
      <c r="E163" s="69"/>
      <c r="F163" s="69"/>
      <c r="G163" s="69"/>
      <c r="H163" s="69"/>
      <c r="I163" s="69"/>
      <c r="J163" s="69"/>
    </row>
    <row r="164" spans="1:10" ht="12" customHeight="1">
      <c r="A164" s="28">
        <v>164</v>
      </c>
      <c r="B164" s="35" t="s">
        <v>87</v>
      </c>
      <c r="C164" s="36" t="s">
        <v>29</v>
      </c>
      <c r="D164" s="36" t="s">
        <v>387</v>
      </c>
      <c r="E164" s="44" t="s">
        <v>55</v>
      </c>
      <c r="F164" s="44" t="s">
        <v>56</v>
      </c>
      <c r="G164" s="112" t="s">
        <v>192</v>
      </c>
      <c r="H164" s="44"/>
      <c r="I164" s="61" t="s">
        <v>180</v>
      </c>
      <c r="J164" s="62">
        <f>C132</f>
        <v>11123.415466582925</v>
      </c>
    </row>
    <row r="165" spans="1:10" ht="12" customHeight="1">
      <c r="A165" s="28">
        <v>165</v>
      </c>
      <c r="B165" s="61" t="s">
        <v>137</v>
      </c>
      <c r="C165" s="147">
        <f>SQRT(E165^2+F165^2)</f>
        <v>424.2882681970632</v>
      </c>
      <c r="D165" s="147">
        <f>ATAN2(E165,F165)*180/PI()</f>
        <v>-29.494734570925214</v>
      </c>
      <c r="E165" s="147">
        <f>E166+E167</f>
        <v>369.3009098175801</v>
      </c>
      <c r="F165" s="147">
        <f>F166+F167</f>
        <v>-208.8956020062907</v>
      </c>
      <c r="G165" s="181">
        <f>(F165/E165)*-1</f>
        <v>0.565651468634282</v>
      </c>
      <c r="H165" s="36"/>
      <c r="I165" s="51" t="s">
        <v>329</v>
      </c>
      <c r="J165" s="192">
        <f>J131</f>
        <v>-423.58991721959137</v>
      </c>
    </row>
    <row r="166" spans="1:12" ht="12" customHeight="1">
      <c r="A166" s="28">
        <v>166</v>
      </c>
      <c r="B166" s="48" t="s">
        <v>54</v>
      </c>
      <c r="C166" s="39">
        <f>ROUND((C115),2)</f>
        <v>0</v>
      </c>
      <c r="D166" s="39">
        <f>D115</f>
        <v>0</v>
      </c>
      <c r="E166" s="39">
        <f>E115</f>
        <v>8.78022617952638E-11</v>
      </c>
      <c r="F166" s="39">
        <f>F115</f>
        <v>0</v>
      </c>
      <c r="G166" s="227" t="str">
        <f>IF(D166&gt;=0,"kapazitiv","induktiv")</f>
        <v>kapazitiv</v>
      </c>
      <c r="H166" s="41"/>
      <c r="I166" s="48" t="s">
        <v>376</v>
      </c>
      <c r="J166" s="50">
        <f>C172/C3</f>
        <v>0.7348888375733601</v>
      </c>
      <c r="K166" s="25"/>
      <c r="L166" s="19"/>
    </row>
    <row r="167" spans="1:12" ht="12" customHeight="1">
      <c r="A167" s="28">
        <v>167</v>
      </c>
      <c r="B167" s="48" t="s">
        <v>142</v>
      </c>
      <c r="C167" s="63">
        <f>C98</f>
        <v>424.28826819698673</v>
      </c>
      <c r="D167" s="63">
        <f>D98</f>
        <v>-29.494734570931055</v>
      </c>
      <c r="E167" s="63">
        <f>E98</f>
        <v>369.30090981749225</v>
      </c>
      <c r="F167" s="63">
        <f>F98</f>
        <v>-208.8956020062907</v>
      </c>
      <c r="G167" s="181">
        <f>(F167/E167)*-1</f>
        <v>0.5656514686344165</v>
      </c>
      <c r="H167" s="36"/>
      <c r="I167" s="86" t="s">
        <v>356</v>
      </c>
      <c r="J167" s="189">
        <f>C62</f>
        <v>0</v>
      </c>
      <c r="K167" s="18"/>
      <c r="L167" s="6"/>
    </row>
    <row r="168" spans="1:10" ht="12" customHeight="1">
      <c r="A168" s="28">
        <v>168</v>
      </c>
      <c r="B168" s="51" t="s">
        <v>162</v>
      </c>
      <c r="C168" s="84">
        <f>SQRT(E168^2+F168^2)</f>
        <v>848.5765363939735</v>
      </c>
      <c r="D168" s="84">
        <f>ATAN2(E168,F168)*180/PI()</f>
        <v>58.21282265311307</v>
      </c>
      <c r="E168" s="84">
        <f>COS((D167+D31)/180*PI())*C167*C31</f>
        <v>447.00091003452377</v>
      </c>
      <c r="F168" s="84">
        <f>SIN((D167+D31)/180*PI())*C167*C31</f>
        <v>721.2990534769197</v>
      </c>
      <c r="G168" s="227"/>
      <c r="H168" s="54"/>
      <c r="I168" s="26" t="s">
        <v>77</v>
      </c>
      <c r="J168" s="188" t="str">
        <f>IF(G169&gt;=0,"höher","tiefer")</f>
        <v>höher</v>
      </c>
    </row>
    <row r="169" spans="1:10" ht="12" customHeight="1">
      <c r="A169" s="28">
        <v>169</v>
      </c>
      <c r="B169" s="51" t="s">
        <v>139</v>
      </c>
      <c r="C169" s="40">
        <f>SQRT(E169^2+F169^2)</f>
        <v>0</v>
      </c>
      <c r="D169" s="39"/>
      <c r="E169" s="40">
        <f>(COS((D166-D167)/180*PI())*C166/C167)</f>
        <v>0</v>
      </c>
      <c r="F169" s="40">
        <f>ROUND((SIN((D166-D167)/180*PI())*C166/C167),5)</f>
        <v>0</v>
      </c>
      <c r="G169" s="112">
        <f>SIGN(F169)</f>
        <v>0</v>
      </c>
      <c r="H169" s="36"/>
      <c r="I169" s="41"/>
      <c r="J169" s="41"/>
    </row>
    <row r="170" spans="1:10" ht="12" customHeight="1">
      <c r="A170" s="28">
        <v>170</v>
      </c>
      <c r="B170" s="41"/>
      <c r="C170" s="53"/>
      <c r="D170" s="55"/>
      <c r="E170" s="56"/>
      <c r="F170" s="41"/>
      <c r="G170" s="123"/>
      <c r="H170" s="41"/>
      <c r="I170" s="41"/>
      <c r="J170" s="41"/>
    </row>
    <row r="171" spans="1:11" ht="12" customHeight="1">
      <c r="A171" s="28">
        <v>171</v>
      </c>
      <c r="B171" s="124" t="s">
        <v>88</v>
      </c>
      <c r="C171" s="36" t="s">
        <v>33</v>
      </c>
      <c r="D171" s="36" t="s">
        <v>34</v>
      </c>
      <c r="E171" s="36" t="s">
        <v>361</v>
      </c>
      <c r="F171" s="36" t="s">
        <v>316</v>
      </c>
      <c r="G171" s="36" t="s">
        <v>317</v>
      </c>
      <c r="H171" s="37" t="s">
        <v>68</v>
      </c>
      <c r="I171" s="36" t="s">
        <v>67</v>
      </c>
      <c r="J171" s="36" t="s">
        <v>46</v>
      </c>
      <c r="K171" s="14"/>
    </row>
    <row r="172" spans="1:13" ht="12" customHeight="1">
      <c r="A172" s="28">
        <v>172</v>
      </c>
      <c r="B172" s="48" t="s">
        <v>69</v>
      </c>
      <c r="C172" s="44">
        <f>3*C165*C75/1000</f>
        <v>14.697776751467202</v>
      </c>
      <c r="D172" s="44">
        <f>C172*J172</f>
        <v>12.792958781720294</v>
      </c>
      <c r="E172" s="44">
        <f>C172*I172</f>
        <v>-7.236355923057919</v>
      </c>
      <c r="F172" s="44">
        <f>I173-C169*G169</f>
        <v>-0.4348661165159101</v>
      </c>
      <c r="G172" s="44">
        <f>COS(ASIN(F172)*180/PI()/180*PI())</f>
        <v>0.9004951197571094</v>
      </c>
      <c r="H172" s="39">
        <f>D165-D75</f>
        <v>-29.494734570925214</v>
      </c>
      <c r="I172" s="44">
        <f>SIN((H172)/180*PI())</f>
        <v>-0.4923435731418053</v>
      </c>
      <c r="J172" s="44">
        <f>COS((H172)/180*PI())</f>
        <v>0.8704009455337005</v>
      </c>
      <c r="K172" s="13"/>
      <c r="L172" s="22"/>
      <c r="M172" s="10"/>
    </row>
    <row r="173" spans="1:13" ht="12" customHeight="1">
      <c r="A173" s="28">
        <v>173</v>
      </c>
      <c r="B173" s="48" t="s">
        <v>80</v>
      </c>
      <c r="C173" s="30">
        <f>3*C165*C132/1000000</f>
        <v>14.158604054258689</v>
      </c>
      <c r="D173" s="30">
        <f>C173*J173</f>
        <v>12.749753853433173</v>
      </c>
      <c r="E173" s="30">
        <f>C173*I173</f>
        <v>-6.1570971603618965</v>
      </c>
      <c r="F173" s="29"/>
      <c r="G173" s="29"/>
      <c r="H173" s="31">
        <f>D165-D132</f>
        <v>-25.77677497149076</v>
      </c>
      <c r="I173" s="30">
        <f>SIN((H173)/180*PI())</f>
        <v>-0.4348661165159101</v>
      </c>
      <c r="J173" s="30">
        <f>COS((H173)/180*PI())</f>
        <v>0.9004951197571095</v>
      </c>
      <c r="K173" s="13"/>
      <c r="L173" s="22"/>
      <c r="M173" s="10"/>
    </row>
    <row r="174" spans="1:13" ht="12" customHeight="1">
      <c r="A174" s="28">
        <v>174</v>
      </c>
      <c r="B174" s="48" t="s">
        <v>98</v>
      </c>
      <c r="C174" s="44">
        <f>3*C150*C167/1000000</f>
        <v>14.158604054250365</v>
      </c>
      <c r="D174" s="44">
        <f>C174*J174</f>
        <v>12.749753853425112</v>
      </c>
      <c r="E174" s="44">
        <f>C174*I174</f>
        <v>-6.157097160359447</v>
      </c>
      <c r="F174" s="41"/>
      <c r="G174" s="41"/>
      <c r="H174" s="39">
        <f>D167-D150</f>
        <v>-25.77677497149602</v>
      </c>
      <c r="I174" s="44">
        <f>SIN((H174)/180*PI())</f>
        <v>-0.4348661165159928</v>
      </c>
      <c r="J174" s="44">
        <f>COS((H174)/180*PI())</f>
        <v>0.9004951197570695</v>
      </c>
      <c r="K174" s="13"/>
      <c r="L174" s="22"/>
      <c r="M174" s="10"/>
    </row>
    <row r="175" spans="1:13" ht="12" customHeight="1">
      <c r="A175" s="28">
        <v>175</v>
      </c>
      <c r="B175" s="48" t="s">
        <v>71</v>
      </c>
      <c r="C175" s="44">
        <f>(3*C157*C165)/1000000</f>
        <v>5.779084354059541E-12</v>
      </c>
      <c r="D175" s="44">
        <f>C175*J175</f>
        <v>5.140274136707648E-12</v>
      </c>
      <c r="E175" s="44">
        <f>C175*I175</f>
        <v>-2.641097834392022E-12</v>
      </c>
      <c r="F175" s="41"/>
      <c r="G175" s="41"/>
      <c r="H175" s="39">
        <f>D165-D157</f>
        <v>-27.194319135187296</v>
      </c>
      <c r="I175" s="44">
        <f>SIN((H175)/180*PI())</f>
        <v>-0.45700973936066047</v>
      </c>
      <c r="J175" s="44">
        <f>COS((H175)/180*PI())</f>
        <v>0.8894616900853578</v>
      </c>
      <c r="K175" s="13"/>
      <c r="L175" s="22"/>
      <c r="M175" s="10"/>
    </row>
    <row r="176" spans="1:12" ht="12" customHeight="1">
      <c r="A176" s="28">
        <v>176</v>
      </c>
      <c r="B176" s="48" t="s">
        <v>193</v>
      </c>
      <c r="C176" s="40">
        <f>C175/C174*100</f>
        <v>4.0816766482884165E-11</v>
      </c>
      <c r="D176" s="125" t="str">
        <f>IF((D166)&gt;0,"Kreisstrom MINDERT Transformator-Belastung","Kreisstrom ERHÖHT Transformator-Belastung")</f>
        <v>Kreisstrom ERHÖHT Transformator-Belastung</v>
      </c>
      <c r="E176" s="44"/>
      <c r="F176" s="41"/>
      <c r="G176" s="36"/>
      <c r="H176" s="56"/>
      <c r="I176" s="48" t="s">
        <v>66</v>
      </c>
      <c r="J176" s="44">
        <f>I173-F172</f>
        <v>0</v>
      </c>
      <c r="L176" s="22"/>
    </row>
    <row r="177" spans="1:12" ht="12" customHeight="1">
      <c r="A177" s="28">
        <v>177</v>
      </c>
      <c r="B177" s="41"/>
      <c r="D177" s="41"/>
      <c r="E177" s="41"/>
      <c r="F177" s="41"/>
      <c r="G177" s="41"/>
      <c r="H177" s="41"/>
      <c r="I177" s="41"/>
      <c r="J177" s="41"/>
      <c r="L177" s="22"/>
    </row>
    <row r="178" spans="1:12" ht="12" customHeight="1">
      <c r="A178" s="28">
        <v>178</v>
      </c>
      <c r="B178" s="64" t="s">
        <v>89</v>
      </c>
      <c r="C178" s="65" t="s">
        <v>29</v>
      </c>
      <c r="D178" s="65" t="s">
        <v>385</v>
      </c>
      <c r="E178" s="72" t="s">
        <v>55</v>
      </c>
      <c r="F178" s="72" t="s">
        <v>56</v>
      </c>
      <c r="G178" s="203" t="s">
        <v>192</v>
      </c>
      <c r="H178" s="79"/>
      <c r="I178" s="193" t="s">
        <v>181</v>
      </c>
      <c r="J178" s="99">
        <f>C136</f>
        <v>11123.415466572937</v>
      </c>
      <c r="L178" s="22"/>
    </row>
    <row r="179" spans="1:12" ht="12" customHeight="1">
      <c r="A179" s="28">
        <v>179</v>
      </c>
      <c r="B179" s="61" t="s">
        <v>138</v>
      </c>
      <c r="C179" s="147">
        <f>SQRT(E179^2+F179^2)</f>
        <v>353.5735568307459</v>
      </c>
      <c r="D179" s="147">
        <f>ATAN2(E179,F179)*180/PI()</f>
        <v>-29.638081720029938</v>
      </c>
      <c r="E179" s="147">
        <f>E180+E181</f>
        <v>307.31426907538275</v>
      </c>
      <c r="F179" s="147">
        <f>F180+F181</f>
        <v>-174.84907810053772</v>
      </c>
      <c r="G179" s="181">
        <f>(F179/E179)*-1</f>
        <v>0.5689585408012671</v>
      </c>
      <c r="H179" s="36"/>
      <c r="I179" s="51" t="s">
        <v>330</v>
      </c>
      <c r="J179" s="192">
        <f>J136</f>
        <v>-423.58991721958046</v>
      </c>
      <c r="L179" s="22"/>
    </row>
    <row r="180" spans="1:12" ht="12" customHeight="1">
      <c r="A180" s="28">
        <v>180</v>
      </c>
      <c r="B180" s="48" t="s">
        <v>65</v>
      </c>
      <c r="C180" s="39">
        <f>C116</f>
        <v>8.780226179526302E-11</v>
      </c>
      <c r="D180" s="39">
        <f>D116</f>
        <v>180</v>
      </c>
      <c r="E180" s="39">
        <f>E116</f>
        <v>-8.780226179526302E-11</v>
      </c>
      <c r="F180" s="39">
        <f>F116</f>
        <v>0</v>
      </c>
      <c r="G180" s="227" t="str">
        <f>IF(D180&gt;=0,"kapazitiv","induktiv")</f>
        <v>kapazitiv</v>
      </c>
      <c r="H180" s="41"/>
      <c r="I180" s="48" t="s">
        <v>377</v>
      </c>
      <c r="J180" s="50">
        <f>C186/C8</f>
        <v>0.6124073646436938</v>
      </c>
      <c r="K180" s="14"/>
      <c r="L180" s="22"/>
    </row>
    <row r="181" spans="1:12" ht="12" customHeight="1">
      <c r="A181" s="28">
        <v>181</v>
      </c>
      <c r="B181" s="48" t="s">
        <v>143</v>
      </c>
      <c r="C181" s="63">
        <f>C99</f>
        <v>353.5735568308222</v>
      </c>
      <c r="D181" s="63">
        <f>D99</f>
        <v>-29.638081720022896</v>
      </c>
      <c r="E181" s="63">
        <f>E99</f>
        <v>307.3142690754706</v>
      </c>
      <c r="F181" s="63">
        <f>F99</f>
        <v>-174.84907810053772</v>
      </c>
      <c r="G181" s="181">
        <f>(F181/E181)*-1</f>
        <v>0.5689585408011044</v>
      </c>
      <c r="H181" s="36"/>
      <c r="I181" s="86" t="s">
        <v>356</v>
      </c>
      <c r="J181" s="189">
        <f>D62</f>
        <v>0</v>
      </c>
      <c r="K181" s="23"/>
      <c r="L181" s="9"/>
    </row>
    <row r="182" spans="1:12" ht="12" customHeight="1">
      <c r="A182" s="28">
        <v>182</v>
      </c>
      <c r="B182" s="51" t="s">
        <v>163</v>
      </c>
      <c r="C182" s="84">
        <f>SQRT(E182^2+F182^2)</f>
        <v>848.5765363939734</v>
      </c>
      <c r="D182" s="84">
        <f>ATAN2(E182,F182)*180/PI()</f>
        <v>58.21282265311307</v>
      </c>
      <c r="E182" s="84">
        <f>COS((D181+D45)/180*PI())*C181*C45</f>
        <v>447.00091003452366</v>
      </c>
      <c r="F182" s="84">
        <f>SIN((D181+D45)/180*PI())*C181*C45</f>
        <v>721.2990534769195</v>
      </c>
      <c r="G182" s="227"/>
      <c r="H182" s="54"/>
      <c r="I182" s="26" t="s">
        <v>77</v>
      </c>
      <c r="J182" s="188" t="str">
        <f>IF(G183&gt;=0,"höher","tiefer")</f>
        <v>höher</v>
      </c>
      <c r="K182" s="18"/>
      <c r="L182" s="6"/>
    </row>
    <row r="183" spans="1:12" ht="12" customHeight="1">
      <c r="A183" s="28">
        <v>183</v>
      </c>
      <c r="B183" s="51" t="s">
        <v>140</v>
      </c>
      <c r="C183" s="40">
        <f>SQRT(E183^2+F183^2)</f>
        <v>2.1583848024504722E-13</v>
      </c>
      <c r="D183" s="39"/>
      <c r="E183" s="40">
        <f>(COS((D180-D181)/180*PI())*C180/C181)</f>
        <v>-2.1583848024504722E-13</v>
      </c>
      <c r="F183" s="40">
        <f>ROUND((SIN((D180-D181)/180*PI())*C180/C181),5)</f>
        <v>0</v>
      </c>
      <c r="G183" s="112">
        <f>SIGN(F183)</f>
        <v>0</v>
      </c>
      <c r="H183" s="36"/>
      <c r="I183" s="41"/>
      <c r="J183" s="41"/>
      <c r="K183" s="20"/>
      <c r="L183" s="21"/>
    </row>
    <row r="184" spans="1:12" ht="12" customHeight="1">
      <c r="A184" s="28">
        <v>184</v>
      </c>
      <c r="B184" s="126"/>
      <c r="C184" s="53"/>
      <c r="D184" s="55"/>
      <c r="E184" s="56"/>
      <c r="F184" s="41"/>
      <c r="G184" s="41"/>
      <c r="H184" s="41"/>
      <c r="I184" s="41"/>
      <c r="J184" s="41"/>
      <c r="K184" s="20"/>
      <c r="L184" s="21"/>
    </row>
    <row r="185" spans="1:12" ht="12" customHeight="1">
      <c r="A185" s="28">
        <v>185</v>
      </c>
      <c r="B185" s="124" t="s">
        <v>90</v>
      </c>
      <c r="C185" s="36" t="s">
        <v>33</v>
      </c>
      <c r="D185" s="36" t="s">
        <v>34</v>
      </c>
      <c r="E185" s="36" t="s">
        <v>361</v>
      </c>
      <c r="F185" s="112" t="s">
        <v>316</v>
      </c>
      <c r="G185" s="36" t="s">
        <v>317</v>
      </c>
      <c r="H185" s="37" t="s">
        <v>68</v>
      </c>
      <c r="I185" s="36" t="s">
        <v>67</v>
      </c>
      <c r="J185" s="36" t="s">
        <v>46</v>
      </c>
      <c r="K185" s="20"/>
      <c r="L185" s="21"/>
    </row>
    <row r="186" spans="1:12" s="20" customFormat="1" ht="12" customHeight="1">
      <c r="A186" s="28">
        <v>186</v>
      </c>
      <c r="B186" s="48" t="s">
        <v>70</v>
      </c>
      <c r="C186" s="44">
        <f>(3*C179*C76)/1000</f>
        <v>12.248147292873876</v>
      </c>
      <c r="D186" s="44">
        <f>C186*J186</f>
        <v>10.64567855858912</v>
      </c>
      <c r="E186" s="44">
        <f>C186*I186</f>
        <v>-6.056949738534201</v>
      </c>
      <c r="F186" s="181">
        <f>I187-C183*G183</f>
        <v>-0.43711768364809633</v>
      </c>
      <c r="G186" s="44">
        <f>COS(ASIN(F186)*180/PI()/180*PI())</f>
        <v>0.8994043198929627</v>
      </c>
      <c r="H186" s="39">
        <f>D179-D76</f>
        <v>-29.638081720029938</v>
      </c>
      <c r="I186" s="44">
        <f>SIN((H186)/180*PI())</f>
        <v>-0.4945196684610586</v>
      </c>
      <c r="J186" s="44">
        <f>COS((H186)/180*PI())</f>
        <v>0.8691664383218928</v>
      </c>
      <c r="L186" s="21"/>
    </row>
    <row r="187" spans="1:12" ht="12" customHeight="1">
      <c r="A187" s="28">
        <v>187</v>
      </c>
      <c r="B187" s="48" t="s">
        <v>73</v>
      </c>
      <c r="C187" s="30">
        <f>3*C136*C179/1000000</f>
        <v>11.79883671186697</v>
      </c>
      <c r="D187" s="30">
        <f>C187*J187</f>
        <v>10.611924708364832</v>
      </c>
      <c r="E187" s="30">
        <f>C187*I187</f>
        <v>-5.157480173233411</v>
      </c>
      <c r="F187" s="228"/>
      <c r="G187" s="29"/>
      <c r="H187" s="31">
        <f>D179-D136</f>
        <v>-25.920122120594133</v>
      </c>
      <c r="I187" s="30">
        <f>SIN((H187)/180*PI())</f>
        <v>-0.43711768364809633</v>
      </c>
      <c r="J187" s="30">
        <f>COS((H187)/180*PI())</f>
        <v>0.8994043198929627</v>
      </c>
      <c r="K187" s="24"/>
      <c r="L187" s="19"/>
    </row>
    <row r="188" spans="1:12" ht="12" customHeight="1">
      <c r="A188" s="28">
        <v>188</v>
      </c>
      <c r="B188" s="48" t="s">
        <v>99</v>
      </c>
      <c r="C188" s="44">
        <f>3*C150*C181/1000000</f>
        <v>11.798836711875303</v>
      </c>
      <c r="D188" s="44">
        <f>C188*J188</f>
        <v>10.611924708372893</v>
      </c>
      <c r="E188" s="44">
        <f>C188*I188</f>
        <v>-5.157480173235891</v>
      </c>
      <c r="F188" s="114"/>
      <c r="G188" s="41"/>
      <c r="H188" s="39">
        <f>D181-D150</f>
        <v>-25.920122120587862</v>
      </c>
      <c r="I188" s="44">
        <f>SIN((H188)/180*PI())</f>
        <v>-0.4371176836479978</v>
      </c>
      <c r="J188" s="44">
        <f>COS((H188)/180*PI())</f>
        <v>0.8994043198930106</v>
      </c>
      <c r="K188" s="18"/>
      <c r="L188" s="6"/>
    </row>
    <row r="189" spans="1:12" ht="12" customHeight="1">
      <c r="A189" s="28">
        <v>189</v>
      </c>
      <c r="B189" s="48" t="s">
        <v>72</v>
      </c>
      <c r="C189" s="44">
        <f>(3*C159*C179)/1000000</f>
        <v>5.782728964407053E-12</v>
      </c>
      <c r="D189" s="44">
        <f>C189*J189</f>
        <v>-5.1297304429548054E-12</v>
      </c>
      <c r="E189" s="44">
        <f>C189*I189</f>
        <v>2.66942313214203E-12</v>
      </c>
      <c r="F189" s="114"/>
      <c r="G189" s="41"/>
      <c r="H189" s="39">
        <f>D179-D159</f>
        <v>-207.49169026846707</v>
      </c>
      <c r="I189" s="44">
        <f>SIN((H189)/180*PI())</f>
        <v>0.46161996326863053</v>
      </c>
      <c r="J189" s="44">
        <f>COS((H189)/180*PI())</f>
        <v>-0.8870777922549229</v>
      </c>
      <c r="K189" s="15"/>
      <c r="L189" s="5"/>
    </row>
    <row r="190" spans="1:12" ht="12" customHeight="1">
      <c r="A190" s="28">
        <v>190</v>
      </c>
      <c r="B190" s="48" t="s">
        <v>206</v>
      </c>
      <c r="C190" s="40">
        <f>C189/C188*100</f>
        <v>4.901100935303942E-11</v>
      </c>
      <c r="D190" s="125" t="str">
        <f>IF((D180)&gt;0,"Kreisstrom MINDERT Transformator-Belastung","Kreisstrom ERHÖHT Transformator-Belastung")</f>
        <v>Kreisstrom MINDERT Transformator-Belastung</v>
      </c>
      <c r="E190" s="44"/>
      <c r="F190" s="41"/>
      <c r="G190" s="36"/>
      <c r="H190" s="41"/>
      <c r="I190" s="48" t="s">
        <v>66</v>
      </c>
      <c r="J190" s="44">
        <f>I187-F186</f>
        <v>0</v>
      </c>
      <c r="K190" s="18"/>
      <c r="L190" s="6"/>
    </row>
    <row r="191" spans="1:12" ht="12" customHeight="1">
      <c r="A191" s="28">
        <v>191</v>
      </c>
      <c r="B191" s="41"/>
      <c r="C191" s="41"/>
      <c r="D191" s="41"/>
      <c r="E191" s="41"/>
      <c r="F191" s="41"/>
      <c r="G191" s="41"/>
      <c r="H191" s="41"/>
      <c r="I191" s="41"/>
      <c r="J191" s="41"/>
      <c r="K191" s="16"/>
      <c r="L191" s="6"/>
    </row>
    <row r="192" spans="1:10" ht="12" customHeight="1">
      <c r="A192" s="28">
        <v>192</v>
      </c>
      <c r="B192" s="66" t="s">
        <v>144</v>
      </c>
      <c r="C192" s="76"/>
      <c r="D192" s="127"/>
      <c r="E192" s="76"/>
      <c r="F192" s="76"/>
      <c r="G192" s="102"/>
      <c r="H192" s="102"/>
      <c r="I192" s="69"/>
      <c r="J192" s="69"/>
    </row>
    <row r="193" spans="1:10" ht="12" customHeight="1">
      <c r="A193" s="28">
        <v>193</v>
      </c>
      <c r="B193" s="59"/>
      <c r="C193" s="36" t="s">
        <v>33</v>
      </c>
      <c r="D193" s="36" t="s">
        <v>34</v>
      </c>
      <c r="E193" s="36" t="s">
        <v>361</v>
      </c>
      <c r="F193" s="114"/>
      <c r="G193" s="36" t="s">
        <v>29</v>
      </c>
      <c r="H193" s="36" t="s">
        <v>387</v>
      </c>
      <c r="I193" s="44" t="s">
        <v>55</v>
      </c>
      <c r="J193" s="44" t="s">
        <v>56</v>
      </c>
    </row>
    <row r="194" spans="1:10" ht="12" customHeight="1">
      <c r="A194" s="28">
        <v>194</v>
      </c>
      <c r="B194" s="48" t="s">
        <v>74</v>
      </c>
      <c r="C194" s="44">
        <f aca="true" t="shared" si="4" ref="C194:E197">C172+C186</f>
        <v>26.945924044341076</v>
      </c>
      <c r="D194" s="44">
        <f t="shared" si="4"/>
        <v>23.438637340309413</v>
      </c>
      <c r="E194" s="44">
        <f t="shared" si="4"/>
        <v>-13.29330566159212</v>
      </c>
      <c r="F194" s="184" t="s">
        <v>287</v>
      </c>
      <c r="G194" s="39">
        <f>SQRT(I194^2+J194^2)</f>
        <v>777.8612214390483</v>
      </c>
      <c r="H194" s="39">
        <f>ATAN2(I194,J194)*180/PI()</f>
        <v>-29.55989236260215</v>
      </c>
      <c r="I194" s="39">
        <f>E165+E179</f>
        <v>676.6151788929628</v>
      </c>
      <c r="J194" s="39">
        <f>F165+F179</f>
        <v>-383.7446801068284</v>
      </c>
    </row>
    <row r="195" spans="1:10" ht="12" customHeight="1">
      <c r="A195" s="28">
        <v>195</v>
      </c>
      <c r="B195" s="48" t="s">
        <v>75</v>
      </c>
      <c r="C195" s="30">
        <f t="shared" si="4"/>
        <v>25.957440766125657</v>
      </c>
      <c r="D195" s="30">
        <f t="shared" si="4"/>
        <v>23.361678561798005</v>
      </c>
      <c r="E195" s="30">
        <f t="shared" si="4"/>
        <v>-11.314577333595308</v>
      </c>
      <c r="F195" s="162" t="s">
        <v>35</v>
      </c>
      <c r="G195" s="39">
        <f>SQRT(I195^2+J195^2)</f>
        <v>0</v>
      </c>
      <c r="H195" s="39" t="e">
        <f>ATAN2(I195,J195)*180/PI()</f>
        <v>#DIV/0!</v>
      </c>
      <c r="I195" s="39">
        <f>ROUND((E166+E180),5)</f>
        <v>0</v>
      </c>
      <c r="J195" s="39">
        <f>ROUND((F166+F180),5)</f>
        <v>0</v>
      </c>
    </row>
    <row r="196" spans="1:10" ht="12" customHeight="1">
      <c r="A196" s="28">
        <v>196</v>
      </c>
      <c r="B196" s="48" t="s">
        <v>97</v>
      </c>
      <c r="C196" s="44">
        <f t="shared" si="4"/>
        <v>25.957440766125668</v>
      </c>
      <c r="D196" s="44">
        <f t="shared" si="4"/>
        <v>23.361678561798005</v>
      </c>
      <c r="E196" s="44">
        <f t="shared" si="4"/>
        <v>-11.314577333595338</v>
      </c>
      <c r="F196" s="162" t="s">
        <v>91</v>
      </c>
      <c r="G196" s="39">
        <f>SQRT(I196^2+J196^2)</f>
        <v>777.8612214390483</v>
      </c>
      <c r="H196" s="39">
        <f>ATAN2(I196,J196)*180/PI()</f>
        <v>-29.55989236260215</v>
      </c>
      <c r="I196" s="39">
        <f>E167+E181</f>
        <v>676.6151788929628</v>
      </c>
      <c r="J196" s="39">
        <f>F167+F181</f>
        <v>-383.7446801068284</v>
      </c>
    </row>
    <row r="197" spans="1:10" ht="12" customHeight="1">
      <c r="A197" s="28">
        <v>197</v>
      </c>
      <c r="B197" s="48" t="s">
        <v>76</v>
      </c>
      <c r="C197" s="44">
        <f t="shared" si="4"/>
        <v>1.1561813318466594E-11</v>
      </c>
      <c r="D197" s="44">
        <f t="shared" si="4"/>
        <v>1.054369375284261E-14</v>
      </c>
      <c r="E197" s="44">
        <f t="shared" si="4"/>
        <v>2.8325297750008002E-14</v>
      </c>
      <c r="F197" s="184" t="s">
        <v>207</v>
      </c>
      <c r="G197" s="39">
        <f>SQRT(I197^2+J197^2)</f>
        <v>0</v>
      </c>
      <c r="H197" s="39" t="e">
        <f>ATAN2(I197,J197)*180/PI()</f>
        <v>#DIV/0!</v>
      </c>
      <c r="I197" s="39">
        <f>I194-I196</f>
        <v>0</v>
      </c>
      <c r="J197" s="39">
        <f>J194-J196</f>
        <v>0</v>
      </c>
    </row>
    <row r="198" spans="1:10" ht="12" customHeight="1">
      <c r="A198" s="28">
        <v>198</v>
      </c>
      <c r="B198" s="48" t="s">
        <v>104</v>
      </c>
      <c r="C198" s="40">
        <f>C197/C196*100</f>
        <v>4.454142233295473E-11</v>
      </c>
      <c r="D198" s="39"/>
      <c r="E198" s="44"/>
      <c r="F198" s="51"/>
      <c r="G198" s="36"/>
      <c r="H198" s="36"/>
      <c r="I198" s="41"/>
      <c r="J198" s="41"/>
    </row>
    <row r="199" spans="1:10" ht="12" customHeight="1">
      <c r="A199" s="28">
        <v>199</v>
      </c>
      <c r="B199" s="41"/>
      <c r="C199" s="41"/>
      <c r="D199" s="56"/>
      <c r="E199" s="51"/>
      <c r="F199" s="51"/>
      <c r="G199" s="36"/>
      <c r="H199" s="36"/>
      <c r="I199" s="48"/>
      <c r="J199" s="50"/>
    </row>
    <row r="200" spans="1:10" ht="12" customHeight="1">
      <c r="A200" s="28">
        <v>200</v>
      </c>
      <c r="B200" s="66" t="s">
        <v>146</v>
      </c>
      <c r="C200" s="76"/>
      <c r="D200" s="127"/>
      <c r="E200" s="76"/>
      <c r="F200" s="76"/>
      <c r="G200" s="102"/>
      <c r="H200" s="102"/>
      <c r="I200" s="69"/>
      <c r="J200" s="69"/>
    </row>
    <row r="201" spans="1:10" ht="12" customHeight="1">
      <c r="A201" s="28">
        <v>201</v>
      </c>
      <c r="B201" s="114" t="s">
        <v>358</v>
      </c>
      <c r="C201" s="36" t="s">
        <v>33</v>
      </c>
      <c r="D201" s="36" t="s">
        <v>34</v>
      </c>
      <c r="E201" s="36" t="s">
        <v>361</v>
      </c>
      <c r="F201" s="114" t="s">
        <v>358</v>
      </c>
      <c r="G201" s="41"/>
      <c r="H201" s="36" t="s">
        <v>29</v>
      </c>
      <c r="I201" s="44" t="s">
        <v>55</v>
      </c>
      <c r="J201" s="44" t="s">
        <v>56</v>
      </c>
    </row>
    <row r="202" spans="1:10" ht="12" customHeight="1">
      <c r="A202" s="28">
        <v>202</v>
      </c>
      <c r="B202" s="48" t="s">
        <v>74</v>
      </c>
      <c r="C202" s="39">
        <f aca="true" t="shared" si="5" ref="C202:E203">ABS(C172)-ABS(C186)</f>
        <v>2.4496294585933267</v>
      </c>
      <c r="D202" s="39">
        <f t="shared" si="5"/>
        <v>2.1472802231311743</v>
      </c>
      <c r="E202" s="39">
        <f t="shared" si="5"/>
        <v>1.1794061845237174</v>
      </c>
      <c r="F202" s="114"/>
      <c r="G202" s="61" t="s">
        <v>106</v>
      </c>
      <c r="H202" s="39">
        <f>ABS(C165)-ABS(C179)</f>
        <v>70.71471136631732</v>
      </c>
      <c r="I202" s="39">
        <f>ABS(E165)-ABS(E179)</f>
        <v>61.986640742197324</v>
      </c>
      <c r="J202" s="39">
        <f>ABS(F165)-ABS(F179)</f>
        <v>34.04652390575296</v>
      </c>
    </row>
    <row r="203" spans="1:10" ht="12" customHeight="1">
      <c r="A203" s="28">
        <v>203</v>
      </c>
      <c r="B203" s="128" t="s">
        <v>75</v>
      </c>
      <c r="C203" s="129">
        <f t="shared" si="5"/>
        <v>2.3597673423917183</v>
      </c>
      <c r="D203" s="129">
        <f t="shared" si="5"/>
        <v>2.1378291450683413</v>
      </c>
      <c r="E203" s="129">
        <f t="shared" si="5"/>
        <v>0.9996169871284852</v>
      </c>
      <c r="F203" s="185"/>
      <c r="G203" s="128" t="s">
        <v>91</v>
      </c>
      <c r="H203" s="129">
        <f>ABS(C167)-ABS(C181)</f>
        <v>70.71471136616452</v>
      </c>
      <c r="I203" s="129">
        <f>ABS(E167)-ABS(E181)</f>
        <v>61.98664074202168</v>
      </c>
      <c r="J203" s="129">
        <f>ABS(F167)-ABS(F181)</f>
        <v>34.04652390575296</v>
      </c>
    </row>
    <row r="204" spans="1:10" ht="12" customHeight="1">
      <c r="A204" s="28">
        <v>204</v>
      </c>
      <c r="B204" s="168"/>
      <c r="C204" s="140"/>
      <c r="D204" s="140"/>
      <c r="E204" s="140"/>
      <c r="F204" s="174"/>
      <c r="G204" s="168"/>
      <c r="H204" s="140"/>
      <c r="I204" s="140"/>
      <c r="J204" s="140"/>
    </row>
    <row r="205" spans="1:10" ht="12" customHeight="1">
      <c r="A205" s="28">
        <v>205</v>
      </c>
      <c r="B205" s="41"/>
      <c r="C205" s="41"/>
      <c r="D205" s="41"/>
      <c r="E205" s="41"/>
      <c r="F205" s="41"/>
      <c r="G205" s="41"/>
      <c r="H205" s="41"/>
      <c r="I205" s="41"/>
      <c r="J205" s="41"/>
    </row>
    <row r="206" spans="1:10" ht="12" customHeight="1">
      <c r="A206" s="28">
        <v>206</v>
      </c>
      <c r="B206" s="41"/>
      <c r="C206" s="41"/>
      <c r="D206" s="41"/>
      <c r="E206" s="41"/>
      <c r="F206" s="41"/>
      <c r="G206" s="36"/>
      <c r="H206" s="36"/>
      <c r="I206" s="44"/>
      <c r="J206" s="44"/>
    </row>
    <row r="207" spans="1:10" ht="12" customHeight="1">
      <c r="A207" s="28">
        <v>207</v>
      </c>
      <c r="B207" s="41"/>
      <c r="C207" s="41"/>
      <c r="D207" s="41"/>
      <c r="E207" s="41"/>
      <c r="F207" s="41"/>
      <c r="G207" s="36"/>
      <c r="H207" s="36"/>
      <c r="I207" s="44"/>
      <c r="J207" s="44"/>
    </row>
    <row r="208" spans="1:10" ht="12" customHeight="1">
      <c r="A208" s="28">
        <v>208</v>
      </c>
      <c r="B208" s="41"/>
      <c r="C208" s="41"/>
      <c r="D208" s="41"/>
      <c r="E208" s="41"/>
      <c r="F208" s="41"/>
      <c r="G208" s="36"/>
      <c r="H208" s="36"/>
      <c r="I208" s="41"/>
      <c r="J208" s="41"/>
    </row>
    <row r="209" spans="1:10" ht="12" customHeight="1">
      <c r="A209" s="28">
        <v>209</v>
      </c>
      <c r="B209" s="41"/>
      <c r="C209" s="41"/>
      <c r="D209" s="41"/>
      <c r="E209" s="41"/>
      <c r="F209" s="41"/>
      <c r="G209" s="36"/>
      <c r="H209" s="36"/>
      <c r="I209" s="48"/>
      <c r="J209" s="50"/>
    </row>
    <row r="210" spans="1:10" ht="12" customHeight="1">
      <c r="A210" s="28">
        <v>210</v>
      </c>
      <c r="B210" s="41"/>
      <c r="C210" s="41"/>
      <c r="D210" s="41"/>
      <c r="E210" s="41"/>
      <c r="F210" s="41"/>
      <c r="G210" s="41"/>
      <c r="H210" s="41"/>
      <c r="I210" s="41"/>
      <c r="J210" s="41"/>
    </row>
    <row r="211" spans="1:10" ht="12" customHeight="1">
      <c r="A211" s="28">
        <v>211</v>
      </c>
      <c r="B211" s="41"/>
      <c r="C211" s="41"/>
      <c r="D211" s="41"/>
      <c r="E211" s="41"/>
      <c r="F211" s="41"/>
      <c r="G211" s="41"/>
      <c r="H211" s="41"/>
      <c r="I211" s="41"/>
      <c r="J211" s="41"/>
    </row>
    <row r="212" spans="1:10" ht="12" customHeight="1">
      <c r="A212" s="28">
        <v>212</v>
      </c>
      <c r="B212" s="41"/>
      <c r="C212" s="41"/>
      <c r="D212" s="56"/>
      <c r="E212" s="41"/>
      <c r="F212" s="46"/>
      <c r="G212" s="36"/>
      <c r="H212" s="36"/>
      <c r="I212" s="41"/>
      <c r="J212" s="41"/>
    </row>
    <row r="213" spans="1:10" ht="12" customHeight="1">
      <c r="A213" s="28">
        <v>213</v>
      </c>
      <c r="B213" s="41"/>
      <c r="C213" s="41"/>
      <c r="D213" s="55"/>
      <c r="E213" s="46"/>
      <c r="F213" s="41"/>
      <c r="G213" s="36"/>
      <c r="H213" s="36"/>
      <c r="I213" s="41"/>
      <c r="J213" s="41"/>
    </row>
    <row r="214" spans="1:10" ht="12" customHeight="1">
      <c r="A214" s="28">
        <v>214</v>
      </c>
      <c r="B214" s="41"/>
      <c r="C214" s="41"/>
      <c r="D214" s="41"/>
      <c r="E214" s="41"/>
      <c r="F214" s="41"/>
      <c r="G214" s="36"/>
      <c r="H214" s="36"/>
      <c r="I214" s="41"/>
      <c r="J214" s="41"/>
    </row>
    <row r="215" spans="1:10" ht="12" customHeight="1">
      <c r="A215" s="28">
        <v>215</v>
      </c>
      <c r="B215" s="61"/>
      <c r="C215" s="61"/>
      <c r="D215" s="61"/>
      <c r="E215" s="56"/>
      <c r="F215" s="56"/>
      <c r="G215" s="36"/>
      <c r="H215" s="36"/>
      <c r="I215" s="40"/>
      <c r="J215" s="40"/>
    </row>
    <row r="216" spans="1:10" ht="12" customHeight="1">
      <c r="A216" s="28">
        <v>216</v>
      </c>
      <c r="B216" s="61"/>
      <c r="C216" s="61"/>
      <c r="D216" s="61"/>
      <c r="E216" s="56"/>
      <c r="F216" s="56"/>
      <c r="G216" s="36"/>
      <c r="H216" s="36"/>
      <c r="I216" s="36"/>
      <c r="J216" s="40"/>
    </row>
    <row r="217" spans="1:10" ht="12" customHeight="1">
      <c r="A217" s="28">
        <v>217</v>
      </c>
      <c r="B217" s="41"/>
      <c r="C217" s="41"/>
      <c r="D217" s="41"/>
      <c r="E217" s="41"/>
      <c r="F217" s="41"/>
      <c r="G217" s="41"/>
      <c r="H217" s="41"/>
      <c r="I217" s="41"/>
      <c r="J217" s="41"/>
    </row>
    <row r="218" spans="1:10" ht="12" customHeight="1">
      <c r="A218" s="28">
        <v>218</v>
      </c>
      <c r="B218" s="41"/>
      <c r="C218" s="41"/>
      <c r="D218" s="41"/>
      <c r="E218" s="41"/>
      <c r="F218" s="41"/>
      <c r="G218" s="41"/>
      <c r="H218" s="41"/>
      <c r="I218" s="41"/>
      <c r="J218" s="41"/>
    </row>
    <row r="219" spans="1:10" ht="12" customHeight="1">
      <c r="A219" s="28">
        <v>219</v>
      </c>
      <c r="B219" s="41"/>
      <c r="C219" s="41"/>
      <c r="D219" s="41"/>
      <c r="E219" s="41"/>
      <c r="F219" s="41"/>
      <c r="G219" s="41"/>
      <c r="H219" s="41"/>
      <c r="I219" s="41"/>
      <c r="J219" s="41"/>
    </row>
    <row r="220" spans="1:10" ht="12" customHeight="1">
      <c r="A220" s="28">
        <v>220</v>
      </c>
      <c r="B220" s="41"/>
      <c r="C220" s="41"/>
      <c r="D220" s="41"/>
      <c r="E220" s="41"/>
      <c r="F220" s="41"/>
      <c r="G220" s="41"/>
      <c r="H220" s="41"/>
      <c r="I220" s="41"/>
      <c r="J220" s="41"/>
    </row>
    <row r="221" spans="1:10" ht="12" customHeight="1">
      <c r="A221" s="28">
        <v>221</v>
      </c>
      <c r="B221" s="41"/>
      <c r="C221" s="41"/>
      <c r="D221" s="41"/>
      <c r="E221" s="41"/>
      <c r="F221" s="41"/>
      <c r="G221" s="41"/>
      <c r="H221" s="41"/>
      <c r="I221" s="41"/>
      <c r="J221" s="41"/>
    </row>
    <row r="222" spans="1:10" ht="12" customHeight="1">
      <c r="A222" s="28">
        <v>222</v>
      </c>
      <c r="B222" s="41"/>
      <c r="C222" s="41"/>
      <c r="D222" s="41"/>
      <c r="E222" s="41"/>
      <c r="F222" s="41"/>
      <c r="G222" s="41"/>
      <c r="H222" s="41"/>
      <c r="I222" s="41"/>
      <c r="J222" s="41"/>
    </row>
    <row r="223" spans="1:10" ht="12" customHeight="1">
      <c r="A223" s="28">
        <v>223</v>
      </c>
      <c r="B223" s="41"/>
      <c r="C223" s="41"/>
      <c r="D223" s="41"/>
      <c r="E223" s="41"/>
      <c r="F223" s="41"/>
      <c r="G223" s="41"/>
      <c r="H223" s="41"/>
      <c r="I223" s="41"/>
      <c r="J223" s="41"/>
    </row>
    <row r="224" spans="1:10" ht="12" customHeight="1">
      <c r="A224" s="28">
        <v>224</v>
      </c>
      <c r="B224" s="41"/>
      <c r="C224" s="41"/>
      <c r="D224" s="41"/>
      <c r="E224" s="41"/>
      <c r="F224" s="41"/>
      <c r="G224" s="41"/>
      <c r="H224" s="41"/>
      <c r="I224" s="41"/>
      <c r="J224" s="41"/>
    </row>
    <row r="225" spans="1:10" ht="12" customHeight="1">
      <c r="A225" s="28">
        <v>225</v>
      </c>
      <c r="B225" s="41"/>
      <c r="C225" s="41"/>
      <c r="D225" s="41"/>
      <c r="E225" s="41"/>
      <c r="F225" s="41"/>
      <c r="G225" s="41"/>
      <c r="H225" s="41"/>
      <c r="I225" s="41"/>
      <c r="J225" s="41"/>
    </row>
    <row r="226" spans="1:10" ht="12" customHeight="1">
      <c r="A226" s="28">
        <v>226</v>
      </c>
      <c r="B226" s="111" t="s">
        <v>151</v>
      </c>
      <c r="C226" s="79" t="s">
        <v>319</v>
      </c>
      <c r="D226" s="65" t="s">
        <v>27</v>
      </c>
      <c r="E226" s="65" t="s">
        <v>28</v>
      </c>
      <c r="F226" s="65" t="s">
        <v>297</v>
      </c>
      <c r="G226" s="65" t="s">
        <v>296</v>
      </c>
      <c r="H226" s="65" t="s">
        <v>147</v>
      </c>
      <c r="I226" s="65" t="s">
        <v>318</v>
      </c>
      <c r="J226" s="65" t="s">
        <v>298</v>
      </c>
    </row>
    <row r="227" spans="1:10" ht="12" customHeight="1">
      <c r="A227" s="28">
        <v>227</v>
      </c>
      <c r="B227" s="48" t="s">
        <v>130</v>
      </c>
      <c r="C227" s="63">
        <f>C3</f>
        <v>20</v>
      </c>
      <c r="D227" s="157">
        <v>0.024</v>
      </c>
      <c r="E227" s="157">
        <v>0.08</v>
      </c>
      <c r="F227" s="44">
        <f>SQRT(D227^2+E227^2)</f>
        <v>0.0835224520712844</v>
      </c>
      <c r="G227" s="40">
        <f>(D3*1000)^2/(C3*1000000)</f>
        <v>20</v>
      </c>
      <c r="H227" s="44">
        <f>F227*100/G227</f>
        <v>0.417612260356422</v>
      </c>
      <c r="I227" s="40">
        <f>J227/(C3*10)</f>
        <v>0.12000000000000002</v>
      </c>
      <c r="J227" s="39">
        <f>D227*E3^2*0.003</f>
        <v>24.000000000000004</v>
      </c>
    </row>
    <row r="228" spans="1:10" ht="12" customHeight="1">
      <c r="A228" s="28">
        <v>228</v>
      </c>
      <c r="B228" s="48" t="s">
        <v>131</v>
      </c>
      <c r="C228" s="63">
        <f>C8</f>
        <v>20</v>
      </c>
      <c r="D228" s="107">
        <v>0.02</v>
      </c>
      <c r="E228" s="157">
        <v>0.698</v>
      </c>
      <c r="F228" s="44">
        <f>SQRT(D228^2+E228^2)</f>
        <v>0.6982864741637202</v>
      </c>
      <c r="G228" s="40">
        <f>(D8*1000)^2/(C8*1000000)</f>
        <v>20</v>
      </c>
      <c r="H228" s="44">
        <f>F228*100/G228</f>
        <v>3.4914323708186012</v>
      </c>
      <c r="I228" s="40">
        <f>J228/(C8*10)</f>
        <v>0.10000000000000002</v>
      </c>
      <c r="J228" s="39">
        <f>D228*E8^2*0.003</f>
        <v>20.000000000000004</v>
      </c>
    </row>
    <row r="229" spans="1:10" ht="12" customHeight="1">
      <c r="A229" s="28">
        <v>229</v>
      </c>
      <c r="B229" s="41"/>
      <c r="C229" s="41"/>
      <c r="D229" s="41"/>
      <c r="E229" s="41"/>
      <c r="F229" s="41"/>
      <c r="G229" s="41"/>
      <c r="H229" s="41"/>
      <c r="I229" s="41"/>
      <c r="J229" s="41"/>
    </row>
    <row r="230" spans="1:10" ht="12" customHeight="1">
      <c r="A230" s="28">
        <v>230</v>
      </c>
      <c r="B230" s="130" t="s">
        <v>304</v>
      </c>
      <c r="C230" s="69"/>
      <c r="D230" s="69"/>
      <c r="E230" s="69"/>
      <c r="F230" s="69"/>
      <c r="G230" s="69"/>
      <c r="H230" s="69"/>
      <c r="I230" s="131" t="s">
        <v>270</v>
      </c>
      <c r="J230" s="69"/>
    </row>
    <row r="231" spans="1:10" ht="12" customHeight="1">
      <c r="A231" s="28">
        <v>231</v>
      </c>
      <c r="B231" s="145" t="s">
        <v>337</v>
      </c>
      <c r="C231" s="36" t="s">
        <v>29</v>
      </c>
      <c r="D231" s="36" t="s">
        <v>385</v>
      </c>
      <c r="E231" s="36" t="s">
        <v>228</v>
      </c>
      <c r="F231" s="36" t="s">
        <v>229</v>
      </c>
      <c r="G231" s="143" t="s">
        <v>320</v>
      </c>
      <c r="H231" s="36" t="s">
        <v>299</v>
      </c>
      <c r="I231" s="112" t="s">
        <v>130</v>
      </c>
      <c r="J231" s="36" t="s">
        <v>131</v>
      </c>
    </row>
    <row r="232" spans="1:10" ht="12" customHeight="1">
      <c r="A232" s="28">
        <v>232</v>
      </c>
      <c r="B232" s="61" t="s">
        <v>137</v>
      </c>
      <c r="C232" s="39">
        <f>C165</f>
        <v>424.2882681970632</v>
      </c>
      <c r="D232" s="39">
        <f>D165</f>
        <v>-29.494734570925214</v>
      </c>
      <c r="E232" s="39">
        <f>E165</f>
        <v>369.3009098175801</v>
      </c>
      <c r="F232" s="39">
        <f>F165</f>
        <v>-208.8956020062907</v>
      </c>
      <c r="G232" s="144">
        <f>F232/E232</f>
        <v>-0.565651468634282</v>
      </c>
      <c r="H232" s="39">
        <f>C166</f>
        <v>0</v>
      </c>
      <c r="I232" s="158">
        <v>0</v>
      </c>
      <c r="J232" s="159">
        <v>0</v>
      </c>
    </row>
    <row r="233" spans="1:10" ht="12" customHeight="1">
      <c r="A233" s="28">
        <v>233</v>
      </c>
      <c r="B233" s="61" t="s">
        <v>138</v>
      </c>
      <c r="C233" s="39">
        <f>C179</f>
        <v>353.5735568307459</v>
      </c>
      <c r="D233" s="39">
        <f>D179</f>
        <v>-29.638081720029938</v>
      </c>
      <c r="E233" s="39">
        <f>E179</f>
        <v>307.31426907538275</v>
      </c>
      <c r="F233" s="39">
        <f>F179</f>
        <v>-174.84907810053772</v>
      </c>
      <c r="G233" s="144">
        <f>F233/E233</f>
        <v>-0.5689585408012671</v>
      </c>
      <c r="H233" s="139" t="s">
        <v>52</v>
      </c>
      <c r="I233" s="140" t="s">
        <v>281</v>
      </c>
      <c r="J233" s="140" t="s">
        <v>257</v>
      </c>
    </row>
    <row r="234" spans="1:10" ht="12" customHeight="1">
      <c r="A234" s="28">
        <v>234</v>
      </c>
      <c r="B234" s="48" t="s">
        <v>238</v>
      </c>
      <c r="C234" s="39">
        <f>SQRT(E234^2+F234^2)</f>
        <v>777.8612214390483</v>
      </c>
      <c r="D234" s="39">
        <f>ATAN2(E234,F234)*180/PI()</f>
        <v>-29.55989236260215</v>
      </c>
      <c r="E234" s="39">
        <f>E252+E256</f>
        <v>676.6151788929628</v>
      </c>
      <c r="F234" s="39">
        <f>F252+F256</f>
        <v>-383.7446801068284</v>
      </c>
      <c r="G234" s="144">
        <f>F234/E234</f>
        <v>-0.5671535195747285</v>
      </c>
      <c r="H234" s="141">
        <f>C3/C8</f>
        <v>1</v>
      </c>
      <c r="I234" s="141">
        <f>C45/C31</f>
        <v>1.2</v>
      </c>
      <c r="J234" s="141">
        <f>E45/E31</f>
        <v>1.125</v>
      </c>
    </row>
    <row r="235" spans="1:10" ht="12" customHeight="1">
      <c r="A235" s="28">
        <v>235</v>
      </c>
      <c r="B235" s="41"/>
      <c r="C235" s="36" t="s">
        <v>322</v>
      </c>
      <c r="D235" s="40">
        <f>COS(D232/180*PI())</f>
        <v>0.8704009455337005</v>
      </c>
      <c r="E235" s="36" t="s">
        <v>323</v>
      </c>
      <c r="F235" s="40">
        <f>COS(D233/180*PI())</f>
        <v>0.8691664383218928</v>
      </c>
      <c r="G235" s="41"/>
      <c r="H235" s="41"/>
      <c r="I235" s="41"/>
      <c r="J235" s="41"/>
    </row>
    <row r="236" spans="1:10" ht="12" customHeight="1">
      <c r="A236" s="28">
        <v>236</v>
      </c>
      <c r="B236" s="41"/>
      <c r="C236" s="36"/>
      <c r="D236" s="40"/>
      <c r="E236" s="36"/>
      <c r="F236" s="40"/>
      <c r="G236" s="41"/>
      <c r="H236" s="41"/>
      <c r="I236" s="41"/>
      <c r="J236" s="41"/>
    </row>
    <row r="237" spans="1:10" ht="12" customHeight="1">
      <c r="A237" s="28">
        <v>237</v>
      </c>
      <c r="B237" s="177" t="s">
        <v>359</v>
      </c>
      <c r="C237" s="99" t="s">
        <v>132</v>
      </c>
      <c r="D237" s="73" t="s">
        <v>145</v>
      </c>
      <c r="E237" s="73" t="s">
        <v>290</v>
      </c>
      <c r="F237" s="73" t="s">
        <v>291</v>
      </c>
      <c r="G237" s="65" t="s">
        <v>280</v>
      </c>
      <c r="H237" s="65" t="s">
        <v>272</v>
      </c>
      <c r="I237" s="65" t="s">
        <v>273</v>
      </c>
      <c r="J237" s="65" t="s">
        <v>283</v>
      </c>
    </row>
    <row r="238" spans="1:10" ht="12" customHeight="1">
      <c r="A238" s="28">
        <v>238</v>
      </c>
      <c r="B238" s="168" t="s">
        <v>282</v>
      </c>
      <c r="C238" s="50">
        <f>H238/I238</f>
        <v>1.2000000000015532</v>
      </c>
      <c r="D238" s="50">
        <f>C232/C233</f>
        <v>1.2000000000004756</v>
      </c>
      <c r="E238" s="40">
        <f>E232/E233</f>
        <v>1.2017044015843998</v>
      </c>
      <c r="F238" s="40">
        <f>F232/F233</f>
        <v>1.1947194933803214</v>
      </c>
      <c r="G238" s="40">
        <f>G244/H244</f>
        <v>1.2800000000010143</v>
      </c>
      <c r="H238" s="40">
        <f>(C132*C232*3)/1000000</f>
        <v>14.158604054258689</v>
      </c>
      <c r="I238" s="40">
        <f>(C136*C233*3)/1000000</f>
        <v>11.79883671186697</v>
      </c>
      <c r="J238" s="40">
        <f>H238+I238</f>
        <v>25.957440766125657</v>
      </c>
    </row>
    <row r="239" spans="1:10" ht="12" customHeight="1">
      <c r="A239" s="28">
        <v>239</v>
      </c>
      <c r="B239" s="168" t="s">
        <v>275</v>
      </c>
      <c r="C239" s="50">
        <f>H239/I239</f>
        <v>1.1250000000010103</v>
      </c>
      <c r="D239" s="50">
        <f>C252/C256</f>
        <v>1.1250000000000002</v>
      </c>
      <c r="E239" s="50">
        <f>E252/E256</f>
        <v>1.1250000000000002</v>
      </c>
      <c r="F239" s="50">
        <f>F252/F256</f>
        <v>1.1250000000000002</v>
      </c>
      <c r="G239" s="50">
        <f>G245/H245</f>
        <v>1.1250000000000004</v>
      </c>
      <c r="H239" s="40">
        <f>(C132*C252*3)/1000000</f>
        <v>13.74216385988678</v>
      </c>
      <c r="I239" s="40">
        <f>(C136*C256*3)/1000000</f>
        <v>12.215256764332835</v>
      </c>
      <c r="J239" s="40">
        <f>H239+I239</f>
        <v>25.957420624219615</v>
      </c>
    </row>
    <row r="240" spans="1:10" ht="12" customHeight="1">
      <c r="A240" s="28">
        <v>240</v>
      </c>
      <c r="B240" s="168" t="s">
        <v>274</v>
      </c>
      <c r="C240" s="50">
        <f>H240/I240</f>
        <v>1.0000000066150097</v>
      </c>
      <c r="D240" s="50">
        <f>ROUND((C266/C270),2)</f>
        <v>1</v>
      </c>
      <c r="E240" s="50">
        <f>E266/E270</f>
        <v>1.0000000021938538</v>
      </c>
      <c r="F240" s="50">
        <f>F266/F270</f>
        <v>1.0000000203559982</v>
      </c>
      <c r="G240" s="40">
        <f>G246/H246</f>
        <v>0.8888889006473097</v>
      </c>
      <c r="H240" s="40">
        <f>(C132*C266*3)/1000000</f>
        <v>12.978710355036613</v>
      </c>
      <c r="I240" s="40">
        <f>(C136*C270*3)/1000000</f>
        <v>12.97871026918232</v>
      </c>
      <c r="J240" s="40">
        <f>H240+I240</f>
        <v>25.957420624218933</v>
      </c>
    </row>
    <row r="241" spans="1:10" ht="12" customHeight="1">
      <c r="A241" s="28">
        <v>241</v>
      </c>
      <c r="B241" s="168" t="s">
        <v>276</v>
      </c>
      <c r="C241" s="40">
        <f>H241/I241</f>
        <v>1.1487097449242187</v>
      </c>
      <c r="D241" s="40">
        <f>C282/C286</f>
        <v>1.1487097449231873</v>
      </c>
      <c r="E241" s="40">
        <f>E282/E286</f>
        <v>1.2017044015843998</v>
      </c>
      <c r="F241" s="50">
        <f>ROUND((F282/F286),3)</f>
        <v>1</v>
      </c>
      <c r="G241" s="40">
        <f>G247/H247</f>
        <v>1.1729191805168837</v>
      </c>
      <c r="H241" s="40">
        <f>(C132*C282*3)/1000000</f>
        <v>13.887723026294667</v>
      </c>
      <c r="I241" s="40">
        <f>(C136*C286*3)/1000000</f>
        <v>12.089845226490048</v>
      </c>
      <c r="J241" s="40">
        <f>H241+I241</f>
        <v>25.977568252784714</v>
      </c>
    </row>
    <row r="242" spans="1:11" ht="12" customHeight="1">
      <c r="A242" s="28">
        <v>242</v>
      </c>
      <c r="B242" s="174"/>
      <c r="C242" s="41"/>
      <c r="D242" s="41"/>
      <c r="E242" s="41"/>
      <c r="F242" s="41"/>
      <c r="G242" s="41"/>
      <c r="H242" s="41"/>
      <c r="I242" s="41"/>
      <c r="J242" s="41"/>
      <c r="K242" s="14"/>
    </row>
    <row r="243" spans="1:10" ht="12" customHeight="1">
      <c r="A243" s="28">
        <v>243</v>
      </c>
      <c r="B243" s="177" t="s">
        <v>242</v>
      </c>
      <c r="C243" s="71" t="s">
        <v>292</v>
      </c>
      <c r="D243" s="65" t="s">
        <v>385</v>
      </c>
      <c r="E243" s="65" t="s">
        <v>228</v>
      </c>
      <c r="F243" s="65" t="s">
        <v>229</v>
      </c>
      <c r="G243" s="65" t="s">
        <v>277</v>
      </c>
      <c r="H243" s="65" t="s">
        <v>278</v>
      </c>
      <c r="I243" s="65" t="s">
        <v>279</v>
      </c>
      <c r="J243" s="74" t="s">
        <v>284</v>
      </c>
    </row>
    <row r="244" spans="1:10" ht="12" customHeight="1">
      <c r="A244" s="28">
        <v>244</v>
      </c>
      <c r="B244" s="48" t="s">
        <v>282</v>
      </c>
      <c r="C244" s="63">
        <v>0</v>
      </c>
      <c r="D244" s="39">
        <v>0</v>
      </c>
      <c r="E244" s="39">
        <v>0</v>
      </c>
      <c r="F244" s="39">
        <v>0</v>
      </c>
      <c r="G244" s="39">
        <f>(E31*C232^2)/1000</f>
        <v>14.401642762373063</v>
      </c>
      <c r="H244" s="39">
        <f>(E45*C233^2)/1000</f>
        <v>11.25128340809504</v>
      </c>
      <c r="I244" s="63">
        <f>G244+H244</f>
        <v>25.652926170468103</v>
      </c>
      <c r="J244" s="39">
        <f>(I244-J251)/J251*100</f>
        <v>0.10346113739647274</v>
      </c>
    </row>
    <row r="245" spans="1:10" ht="12" customHeight="1">
      <c r="A245" s="28">
        <v>245</v>
      </c>
      <c r="B245" s="98" t="s">
        <v>293</v>
      </c>
      <c r="C245" s="63">
        <f>C251</f>
        <v>12.488431369047115</v>
      </c>
      <c r="D245" s="62">
        <f>D251</f>
        <v>-27.345632095633835</v>
      </c>
      <c r="E245" s="39">
        <f>E251</f>
        <v>11.09287</v>
      </c>
      <c r="F245" s="39">
        <f>F251</f>
        <v>-5.73665</v>
      </c>
      <c r="G245" s="39">
        <f>(E31*C252^2)/1000</f>
        <v>13.566924419463136</v>
      </c>
      <c r="H245" s="39">
        <f>(E45*C256^2)/1000</f>
        <v>12.059488372856118</v>
      </c>
      <c r="I245" s="63">
        <f>G245+H245</f>
        <v>25.626412792319254</v>
      </c>
      <c r="J245" s="39">
        <f>(I245-J251)/J251*100</f>
        <v>0</v>
      </c>
    </row>
    <row r="246" spans="1:10" ht="12" customHeight="1">
      <c r="A246" s="28">
        <v>246</v>
      </c>
      <c r="B246" s="98" t="s">
        <v>294</v>
      </c>
      <c r="C246" s="63">
        <f>C265</f>
        <v>35.36067399880834</v>
      </c>
      <c r="D246" s="62">
        <f>D265</f>
        <v>-28.77804568553909</v>
      </c>
      <c r="E246" s="39">
        <f>E265</f>
        <v>30.99332</v>
      </c>
      <c r="F246" s="39">
        <f>F265</f>
        <v>-17.02326</v>
      </c>
      <c r="G246" s="39">
        <f>(E31*C266^2)/1000</f>
        <v>12.10136167641274</v>
      </c>
      <c r="H246" s="39">
        <f>(E45*C270^2)/1000</f>
        <v>13.61403170587488</v>
      </c>
      <c r="I246" s="63">
        <f>G246+H246</f>
        <v>25.71539338228762</v>
      </c>
      <c r="J246" s="39">
        <f>(I246-J251)/J251*100</f>
        <v>0.3472221831806064</v>
      </c>
    </row>
    <row r="247" spans="1:10" ht="12" customHeight="1">
      <c r="A247" s="28">
        <v>247</v>
      </c>
      <c r="B247" s="98" t="s">
        <v>295</v>
      </c>
      <c r="C247" s="63">
        <f>C281</f>
        <v>17.02326195287651</v>
      </c>
      <c r="D247" s="62">
        <f>D281</f>
        <v>-90</v>
      </c>
      <c r="E247" s="39">
        <f>E281</f>
        <v>0</v>
      </c>
      <c r="F247" s="39">
        <f>F281</f>
        <v>-17.02326195287651</v>
      </c>
      <c r="G247" s="39">
        <f>(E31*C282^2)/1000</f>
        <v>13.855852549573259</v>
      </c>
      <c r="H247" s="39">
        <f>(E45*C286^2)/1000</f>
        <v>11.813134936941898</v>
      </c>
      <c r="I247" s="63">
        <f>G247+H247</f>
        <v>25.668987486515157</v>
      </c>
      <c r="J247" s="39">
        <f>(I247-J251)/J251*100</f>
        <v>0.1661359884465107</v>
      </c>
    </row>
    <row r="248" spans="1:10" ht="12" customHeight="1">
      <c r="A248" s="28">
        <v>248</v>
      </c>
      <c r="B248" s="142"/>
      <c r="C248" s="41"/>
      <c r="D248" s="41"/>
      <c r="E248" s="41"/>
      <c r="F248" s="41"/>
      <c r="G248" s="41"/>
      <c r="H248" s="41"/>
      <c r="I248" s="41"/>
      <c r="J248" s="41"/>
    </row>
    <row r="249" spans="1:10" ht="12" customHeight="1">
      <c r="A249" s="28">
        <v>249</v>
      </c>
      <c r="B249" s="132" t="s">
        <v>301</v>
      </c>
      <c r="C249" s="69"/>
      <c r="D249" s="69"/>
      <c r="E249" s="69"/>
      <c r="F249" s="69"/>
      <c r="G249" s="69"/>
      <c r="H249" s="69"/>
      <c r="I249" s="69"/>
      <c r="J249" s="69"/>
    </row>
    <row r="250" spans="1:10" ht="12" customHeight="1">
      <c r="A250" s="28">
        <v>250</v>
      </c>
      <c r="B250" s="41"/>
      <c r="C250" s="36" t="s">
        <v>29</v>
      </c>
      <c r="D250" s="36" t="s">
        <v>385</v>
      </c>
      <c r="E250" s="36" t="s">
        <v>228</v>
      </c>
      <c r="F250" s="36" t="s">
        <v>229</v>
      </c>
      <c r="G250" s="112" t="s">
        <v>320</v>
      </c>
      <c r="H250" s="36" t="s">
        <v>321</v>
      </c>
      <c r="I250" s="41"/>
      <c r="J250" s="137" t="s">
        <v>271</v>
      </c>
    </row>
    <row r="251" spans="1:10" ht="12" customHeight="1">
      <c r="A251" s="28">
        <v>251</v>
      </c>
      <c r="B251" s="98" t="s">
        <v>253</v>
      </c>
      <c r="C251" s="109">
        <f>SQRT(E251^2+F251^2)</f>
        <v>12.488431369047115</v>
      </c>
      <c r="D251" s="109">
        <f>ATAN2(E251,F251)*180/PI()</f>
        <v>-27.345632095633835</v>
      </c>
      <c r="E251" s="62">
        <f>ROUND((E232-E252),5)</f>
        <v>11.09287</v>
      </c>
      <c r="F251" s="62">
        <f>ROUND((F232-F252),5)</f>
        <v>-5.73665</v>
      </c>
      <c r="G251" s="181"/>
      <c r="H251" s="41"/>
      <c r="I251" s="41"/>
      <c r="J251" s="138">
        <f>(G95*(E31*E45)/(E31+E45))/1000</f>
        <v>25.626412792319254</v>
      </c>
    </row>
    <row r="252" spans="1:10" ht="12" customHeight="1">
      <c r="A252" s="28">
        <v>252</v>
      </c>
      <c r="B252" s="61" t="s">
        <v>244</v>
      </c>
      <c r="C252" s="63">
        <f>C95*E45/(E31+E45)</f>
        <v>411.8088819383197</v>
      </c>
      <c r="D252" s="63">
        <f>D95</f>
        <v>-29.55989236260215</v>
      </c>
      <c r="E252" s="62">
        <f>COS((D252)/180*PI())*C252</f>
        <v>358.20803588450974</v>
      </c>
      <c r="F252" s="62">
        <f>SIN((D252)/180*PI())*C252</f>
        <v>-203.15894829185035</v>
      </c>
      <c r="G252" s="151">
        <f>F252/E252</f>
        <v>-0.5671535195747285</v>
      </c>
      <c r="H252" s="44">
        <f>COS(D252/180*PI())</f>
        <v>0.8698404808523817</v>
      </c>
      <c r="I252" s="36"/>
      <c r="J252" s="41"/>
    </row>
    <row r="253" spans="1:10" ht="12" customHeight="1">
      <c r="A253" s="28">
        <v>253</v>
      </c>
      <c r="B253" s="48" t="s">
        <v>243</v>
      </c>
      <c r="C253" s="148">
        <f>SQRT(E253^2+F253^2)</f>
        <v>44.613464510137874</v>
      </c>
      <c r="D253" s="148">
        <f>ATAN2(E253,F253)*180/PI()</f>
        <v>-87.78574658146488</v>
      </c>
      <c r="E253" s="149">
        <f>(COS((0-D111)/180*PI())*C64/C111)</f>
        <v>1.7237033754145648</v>
      </c>
      <c r="F253" s="149">
        <f>(SIN((0-D111)/180*PI())*C64/C111)</f>
        <v>-44.58015323292324</v>
      </c>
      <c r="G253" s="114"/>
      <c r="H253" s="41"/>
      <c r="I253" s="41"/>
      <c r="J253" s="39"/>
    </row>
    <row r="254" spans="1:10" ht="12" customHeight="1">
      <c r="A254" s="28">
        <v>254</v>
      </c>
      <c r="B254" s="41"/>
      <c r="C254" s="65" t="s">
        <v>29</v>
      </c>
      <c r="D254" s="65" t="s">
        <v>385</v>
      </c>
      <c r="E254" s="65" t="s">
        <v>228</v>
      </c>
      <c r="F254" s="65" t="s">
        <v>229</v>
      </c>
      <c r="G254" s="203" t="s">
        <v>320</v>
      </c>
      <c r="H254" s="65" t="s">
        <v>321</v>
      </c>
      <c r="I254" s="41"/>
      <c r="J254" s="41"/>
    </row>
    <row r="255" spans="1:10" ht="12" customHeight="1">
      <c r="A255" s="28">
        <v>255</v>
      </c>
      <c r="B255" s="98" t="s">
        <v>254</v>
      </c>
      <c r="C255" s="109">
        <f>SQRT(E255^2+F255^2)</f>
        <v>12.488431369047115</v>
      </c>
      <c r="D255" s="109">
        <f>ATAN2(E255,F255)*180/PI()</f>
        <v>152.65436790436615</v>
      </c>
      <c r="E255" s="62">
        <f>ROUND((E233-E256),5)</f>
        <v>-11.09287</v>
      </c>
      <c r="F255" s="62">
        <f>ROUND((F233-F256),5)</f>
        <v>5.73665</v>
      </c>
      <c r="G255" s="112"/>
      <c r="H255" s="41"/>
      <c r="I255" s="36"/>
      <c r="J255" s="41"/>
    </row>
    <row r="256" spans="1:10" ht="12" customHeight="1">
      <c r="A256" s="28">
        <v>256</v>
      </c>
      <c r="B256" s="61" t="s">
        <v>255</v>
      </c>
      <c r="C256" s="63">
        <f>C95*E31/(E31+E45)</f>
        <v>366.0523395007286</v>
      </c>
      <c r="D256" s="63">
        <f>D95</f>
        <v>-29.55989236260215</v>
      </c>
      <c r="E256" s="62">
        <f>COS((D256)/180*PI())*C256</f>
        <v>318.40714300845303</v>
      </c>
      <c r="F256" s="62">
        <f>SIN((D256)/180*PI())*C256</f>
        <v>-180.58573181497806</v>
      </c>
      <c r="G256" s="151">
        <f>F256/E256</f>
        <v>-0.5671535195747286</v>
      </c>
      <c r="H256" s="44">
        <f>COS(D256/180*PI())</f>
        <v>0.8698404808523817</v>
      </c>
      <c r="I256" s="40"/>
      <c r="J256" s="48"/>
    </row>
    <row r="257" spans="1:10" ht="12" customHeight="1">
      <c r="A257" s="28">
        <v>257</v>
      </c>
      <c r="B257" s="48" t="s">
        <v>238</v>
      </c>
      <c r="C257" s="39">
        <f>SQRT(E257^2+F257^2)</f>
        <v>777.8612214390483</v>
      </c>
      <c r="D257" s="39">
        <f>ATAN2(E257,F257)*180/PI()</f>
        <v>-29.55989236260215</v>
      </c>
      <c r="E257" s="39">
        <f>E252+E256</f>
        <v>676.6151788929628</v>
      </c>
      <c r="F257" s="39">
        <f>F252+F256</f>
        <v>-383.7446801068284</v>
      </c>
      <c r="G257" s="151">
        <f>F257/E257</f>
        <v>-0.5671535195747285</v>
      </c>
      <c r="H257" s="44">
        <f>COS(D257/180*PI())</f>
        <v>0.8698404808523817</v>
      </c>
      <c r="I257" s="41"/>
      <c r="J257" s="41"/>
    </row>
    <row r="258" spans="1:10" ht="12" customHeight="1">
      <c r="A258" s="28">
        <v>258</v>
      </c>
      <c r="B258" s="41"/>
      <c r="C258" s="41"/>
      <c r="D258" s="41"/>
      <c r="E258" s="41"/>
      <c r="F258" s="41"/>
      <c r="G258" s="41"/>
      <c r="H258" s="41"/>
      <c r="I258" s="41"/>
      <c r="J258" s="41"/>
    </row>
    <row r="259" spans="1:10" ht="12" customHeight="1">
      <c r="A259" s="28">
        <v>259</v>
      </c>
      <c r="B259" s="96" t="s">
        <v>245</v>
      </c>
      <c r="C259" s="36" t="s">
        <v>149</v>
      </c>
      <c r="D259" s="36" t="s">
        <v>385</v>
      </c>
      <c r="E259" s="36" t="s">
        <v>230</v>
      </c>
      <c r="F259" s="36" t="s">
        <v>231</v>
      </c>
      <c r="G259" s="36"/>
      <c r="H259" s="41"/>
      <c r="I259" s="98" t="s">
        <v>256</v>
      </c>
      <c r="J259" s="39">
        <f>((C260/1000)/C69)*100</f>
        <v>0.4758727787786074</v>
      </c>
    </row>
    <row r="260" spans="1:10" ht="12" customHeight="1">
      <c r="A260" s="28">
        <v>260</v>
      </c>
      <c r="B260" s="98" t="s">
        <v>183</v>
      </c>
      <c r="C260" s="178">
        <f>SQRT(E260^2+F260^2)</f>
        <v>54.949055385568855</v>
      </c>
      <c r="D260" s="179">
        <f>ATAN2(E260,F260)*180/PI()</f>
        <v>60.44011448583105</v>
      </c>
      <c r="E260" s="62">
        <f>COS((D111+D251)/180*PI())*C111*C251</f>
        <v>27.10818158299897</v>
      </c>
      <c r="F260" s="62">
        <f>SIN((D111+D251)/180*PI())*C251*C111</f>
        <v>47.79691599914652</v>
      </c>
      <c r="G260" s="36"/>
      <c r="H260" s="41"/>
      <c r="I260" s="48"/>
      <c r="J260" s="40"/>
    </row>
    <row r="261" spans="1:10" ht="12" customHeight="1">
      <c r="A261" s="28">
        <v>261</v>
      </c>
      <c r="B261" s="48" t="s">
        <v>187</v>
      </c>
      <c r="C261" s="62">
        <f>SQRT(E261^2+F261^2)</f>
        <v>11574.21225697974</v>
      </c>
      <c r="D261" s="39">
        <f>ATAN2(E261,F261)*180/PI()</f>
        <v>0.23660956646469583</v>
      </c>
      <c r="E261" s="62">
        <f>E260+E75*1000</f>
        <v>11574.113565385514</v>
      </c>
      <c r="F261" s="62">
        <f>F260+F75*1000+0.0000000001</f>
        <v>47.79691599924652</v>
      </c>
      <c r="G261" s="41"/>
      <c r="H261" s="41"/>
      <c r="I261" s="98" t="s">
        <v>285</v>
      </c>
      <c r="J261" s="50">
        <f>C260/C64</f>
        <v>0.2799251639874162</v>
      </c>
    </row>
    <row r="262" spans="1:10" ht="12" customHeight="1">
      <c r="A262" s="28">
        <v>262</v>
      </c>
      <c r="B262" s="41"/>
      <c r="C262" s="41"/>
      <c r="D262" s="41"/>
      <c r="E262" s="41"/>
      <c r="F262" s="41"/>
      <c r="G262" s="41"/>
      <c r="H262" s="41"/>
      <c r="I262" s="41"/>
      <c r="J262" s="41"/>
    </row>
    <row r="263" spans="1:10" ht="12" customHeight="1">
      <c r="A263" s="28">
        <v>263</v>
      </c>
      <c r="B263" s="130" t="s">
        <v>246</v>
      </c>
      <c r="C263" s="69"/>
      <c r="D263" s="69"/>
      <c r="E263" s="69"/>
      <c r="F263" s="69"/>
      <c r="G263" s="69"/>
      <c r="H263" s="69"/>
      <c r="I263" s="69"/>
      <c r="J263" s="69"/>
    </row>
    <row r="264" spans="1:10" ht="12" customHeight="1">
      <c r="A264" s="28">
        <v>264</v>
      </c>
      <c r="B264" s="41" t="s">
        <v>186</v>
      </c>
      <c r="C264" s="36" t="s">
        <v>29</v>
      </c>
      <c r="D264" s="36" t="s">
        <v>385</v>
      </c>
      <c r="E264" s="36" t="s">
        <v>228</v>
      </c>
      <c r="F264" s="36" t="s">
        <v>229</v>
      </c>
      <c r="G264" s="112" t="s">
        <v>320</v>
      </c>
      <c r="H264" s="36" t="s">
        <v>321</v>
      </c>
      <c r="I264" s="135" t="s">
        <v>184</v>
      </c>
      <c r="J264" s="41"/>
    </row>
    <row r="265" spans="1:10" ht="12" customHeight="1">
      <c r="A265" s="28">
        <v>265</v>
      </c>
      <c r="B265" s="98" t="s">
        <v>247</v>
      </c>
      <c r="C265" s="109">
        <f>SQRT(E265^2+F265^2)</f>
        <v>35.36067399880834</v>
      </c>
      <c r="D265" s="120">
        <f>ATAN2(E265,F265)*180/PI()</f>
        <v>-28.77804568553909</v>
      </c>
      <c r="E265" s="39">
        <f>ROUND((E232-E96),5)</f>
        <v>30.99332</v>
      </c>
      <c r="F265" s="39">
        <f>ROUND((F232-F96),5)</f>
        <v>-17.02326</v>
      </c>
      <c r="G265" s="112"/>
      <c r="H265" s="62"/>
      <c r="I265" s="136" t="s">
        <v>343</v>
      </c>
      <c r="J265" s="39">
        <f>C126</f>
        <v>-17.02326195287651</v>
      </c>
    </row>
    <row r="266" spans="1:10" ht="12" customHeight="1">
      <c r="A266" s="28">
        <v>266</v>
      </c>
      <c r="B266" s="61" t="s">
        <v>248</v>
      </c>
      <c r="C266" s="39">
        <f>SQRT(E266^2+F266^2)</f>
        <v>388.9306120057394</v>
      </c>
      <c r="D266" s="39">
        <f>ATAN2(E266,F266)*180/PI()</f>
        <v>-29.559892585876906</v>
      </c>
      <c r="E266" s="39">
        <f>E232-E265</f>
        <v>338.3075898175801</v>
      </c>
      <c r="F266" s="39">
        <f>F232-F265</f>
        <v>-191.8723420062907</v>
      </c>
      <c r="G266" s="151">
        <f>F266/E266</f>
        <v>-0.5671535247250905</v>
      </c>
      <c r="H266" s="44">
        <f>COS(D266/180*PI())</f>
        <v>0.8698404789299221</v>
      </c>
      <c r="I266" s="114"/>
      <c r="J266" s="41"/>
    </row>
    <row r="267" spans="1:10" ht="12" customHeight="1">
      <c r="A267" s="28">
        <v>267</v>
      </c>
      <c r="B267" s="41"/>
      <c r="C267" s="36"/>
      <c r="D267" s="36"/>
      <c r="E267" s="36"/>
      <c r="F267" s="36"/>
      <c r="G267" s="114"/>
      <c r="H267" s="41"/>
      <c r="I267" s="114"/>
      <c r="J267" s="41"/>
    </row>
    <row r="268" spans="1:10" ht="12" customHeight="1">
      <c r="A268" s="28">
        <v>268</v>
      </c>
      <c r="B268" s="61"/>
      <c r="C268" s="36" t="s">
        <v>29</v>
      </c>
      <c r="D268" s="36" t="s">
        <v>385</v>
      </c>
      <c r="E268" s="36" t="s">
        <v>228</v>
      </c>
      <c r="F268" s="36" t="s">
        <v>229</v>
      </c>
      <c r="G268" s="112" t="s">
        <v>320</v>
      </c>
      <c r="H268" s="36" t="s">
        <v>321</v>
      </c>
      <c r="I268" s="114"/>
      <c r="J268" s="41"/>
    </row>
    <row r="269" spans="1:10" ht="12" customHeight="1">
      <c r="A269" s="28">
        <v>269</v>
      </c>
      <c r="B269" s="98" t="s">
        <v>249</v>
      </c>
      <c r="C269" s="109">
        <f>SQRT(E269^2+F269^2)</f>
        <v>35.36067399880834</v>
      </c>
      <c r="D269" s="120">
        <f>ATAN2(E269,F269)*180/PI()</f>
        <v>151.2219543144609</v>
      </c>
      <c r="E269" s="39">
        <f>ROUND((E233-E97),5)</f>
        <v>-30.99332</v>
      </c>
      <c r="F269" s="39">
        <f>ROUND((F233-F97),5)</f>
        <v>17.02326</v>
      </c>
      <c r="G269" s="112"/>
      <c r="H269" s="52"/>
      <c r="I269" s="136" t="s">
        <v>344</v>
      </c>
      <c r="J269" s="39">
        <f>C127</f>
        <v>17.023261952876453</v>
      </c>
    </row>
    <row r="270" spans="1:10" ht="12" customHeight="1">
      <c r="A270" s="28">
        <v>270</v>
      </c>
      <c r="B270" s="61" t="s">
        <v>250</v>
      </c>
      <c r="C270" s="39">
        <f>SQRT(E270^2+F270^2)</f>
        <v>388.9306094333089</v>
      </c>
      <c r="D270" s="39">
        <f>ATAN2(E270,F270)*180/PI()</f>
        <v>-29.559892139327395</v>
      </c>
      <c r="E270" s="39">
        <f>E233-E269</f>
        <v>338.30758907538274</v>
      </c>
      <c r="F270" s="39">
        <f>F233-F269</f>
        <v>-191.87233810053772</v>
      </c>
      <c r="G270" s="151">
        <f>F270/E270</f>
        <v>-0.5671535144243665</v>
      </c>
      <c r="H270" s="44">
        <f>COS(D270/180*PI())</f>
        <v>0.8698404827748415</v>
      </c>
      <c r="I270" s="114"/>
      <c r="J270" s="51"/>
    </row>
    <row r="271" spans="1:10" ht="12" customHeight="1">
      <c r="A271" s="28">
        <v>271</v>
      </c>
      <c r="B271" s="48" t="s">
        <v>238</v>
      </c>
      <c r="C271" s="39">
        <f>SQRT(E271^2+F271^2)</f>
        <v>777.8612214390483</v>
      </c>
      <c r="D271" s="39">
        <f>ATAN2(E271,F271)*180/PI()</f>
        <v>-29.55989236260215</v>
      </c>
      <c r="E271" s="39">
        <f>E266+E270</f>
        <v>676.6151788929628</v>
      </c>
      <c r="F271" s="39">
        <f>F266+F270</f>
        <v>-383.7446801068284</v>
      </c>
      <c r="G271" s="151">
        <f>F271/E271</f>
        <v>-0.5671535195747285</v>
      </c>
      <c r="H271" s="44">
        <f>COS(D271/180*PI())</f>
        <v>0.8698404808523817</v>
      </c>
      <c r="I271" s="114"/>
      <c r="J271" s="39"/>
    </row>
    <row r="272" spans="1:10" ht="12" customHeight="1">
      <c r="A272" s="28">
        <v>272</v>
      </c>
      <c r="B272" s="41"/>
      <c r="C272" s="36"/>
      <c r="D272" s="36"/>
      <c r="E272" s="36"/>
      <c r="F272" s="36"/>
      <c r="G272" s="41"/>
      <c r="H272" s="41"/>
      <c r="I272" s="41"/>
      <c r="J272" s="41"/>
    </row>
    <row r="273" spans="1:10" ht="12" customHeight="1">
      <c r="A273" s="28">
        <v>273</v>
      </c>
      <c r="B273" s="96" t="s">
        <v>286</v>
      </c>
      <c r="C273" s="40"/>
      <c r="D273" s="36"/>
      <c r="E273" s="40"/>
      <c r="F273" s="40"/>
      <c r="G273" s="134"/>
      <c r="H273" s="41"/>
      <c r="I273" s="41"/>
      <c r="J273" s="41"/>
    </row>
    <row r="274" spans="1:10" ht="12" customHeight="1">
      <c r="A274" s="28">
        <v>274</v>
      </c>
      <c r="B274" s="48" t="s">
        <v>11</v>
      </c>
      <c r="C274" s="36" t="s">
        <v>149</v>
      </c>
      <c r="D274" s="36" t="s">
        <v>385</v>
      </c>
      <c r="E274" s="36" t="s">
        <v>230</v>
      </c>
      <c r="F274" s="36" t="s">
        <v>231</v>
      </c>
      <c r="G274" s="36"/>
      <c r="H274" s="41"/>
      <c r="I274" s="41"/>
      <c r="J274" s="36"/>
    </row>
    <row r="275" spans="1:10" ht="12" customHeight="1">
      <c r="A275" s="28">
        <v>275</v>
      </c>
      <c r="B275" s="98" t="s">
        <v>183</v>
      </c>
      <c r="C275" s="178">
        <f>SQRT(E275^2+F275^2)</f>
        <v>155.58684486567506</v>
      </c>
      <c r="D275" s="179">
        <f>ATAN2(E275,F275)*180/PI()</f>
        <v>59.007700895925794</v>
      </c>
      <c r="E275" s="39">
        <f>COS((D111+D265)/180*PI())*C111*C265</f>
        <v>80.11522342278319</v>
      </c>
      <c r="F275" s="39">
        <f>SIN((D111+D265)/180*PI())*C265*C111</f>
        <v>133.37472500880057</v>
      </c>
      <c r="G275" s="36"/>
      <c r="I275" s="98" t="s">
        <v>182</v>
      </c>
      <c r="J275" s="39">
        <f>((C275/1000)/C69)*100</f>
        <v>1.3474216014834304</v>
      </c>
    </row>
    <row r="276" spans="1:10" ht="12" customHeight="1">
      <c r="A276" s="28">
        <v>276</v>
      </c>
      <c r="B276" s="86" t="s">
        <v>185</v>
      </c>
      <c r="C276" s="39">
        <v>0</v>
      </c>
      <c r="D276" s="39">
        <v>0</v>
      </c>
      <c r="E276" s="36"/>
      <c r="F276" s="36"/>
      <c r="G276" s="41"/>
      <c r="H276" s="41"/>
      <c r="I276" s="41"/>
      <c r="J276" s="41"/>
    </row>
    <row r="277" spans="1:10" ht="12" customHeight="1">
      <c r="A277" s="28">
        <v>277</v>
      </c>
      <c r="B277" s="48" t="s">
        <v>187</v>
      </c>
      <c r="C277" s="62">
        <f>SQRT(E277^2+F277^2)</f>
        <v>11627.885552938435</v>
      </c>
      <c r="D277" s="39">
        <f>ATAN2(E277,F277)*180/PI()</f>
        <v>0.6572111825167477</v>
      </c>
      <c r="E277" s="62">
        <f>E275+C75*1000</f>
        <v>11627.120607225299</v>
      </c>
      <c r="F277" s="39">
        <f>F275+0</f>
        <v>133.37472500880057</v>
      </c>
      <c r="G277" s="41"/>
      <c r="I277" s="98" t="s">
        <v>285</v>
      </c>
      <c r="J277" s="50">
        <f>C275/C64</f>
        <v>0.7926009420490768</v>
      </c>
    </row>
    <row r="278" spans="1:10" ht="12" customHeight="1">
      <c r="A278" s="28">
        <v>278</v>
      </c>
      <c r="B278" s="41"/>
      <c r="C278" s="41"/>
      <c r="D278" s="41"/>
      <c r="E278" s="41"/>
      <c r="F278" s="41"/>
      <c r="G278" s="41"/>
      <c r="H278" s="41"/>
      <c r="I278" s="41"/>
      <c r="J278" s="41"/>
    </row>
    <row r="279" spans="1:10" ht="12" customHeight="1">
      <c r="A279" s="28">
        <v>279</v>
      </c>
      <c r="B279" s="130" t="s">
        <v>188</v>
      </c>
      <c r="C279" s="69"/>
      <c r="D279" s="69"/>
      <c r="E279" s="69"/>
      <c r="F279" s="69"/>
      <c r="G279" s="69"/>
      <c r="H279" s="69"/>
      <c r="I279" s="69"/>
      <c r="J279" s="69"/>
    </row>
    <row r="280" spans="1:10" ht="12" customHeight="1">
      <c r="A280" s="28">
        <v>280</v>
      </c>
      <c r="B280" s="41" t="s">
        <v>186</v>
      </c>
      <c r="C280" s="36" t="s">
        <v>29</v>
      </c>
      <c r="D280" s="36" t="s">
        <v>385</v>
      </c>
      <c r="E280" s="36" t="s">
        <v>228</v>
      </c>
      <c r="F280" s="36" t="s">
        <v>229</v>
      </c>
      <c r="G280" s="112" t="s">
        <v>320</v>
      </c>
      <c r="H280" s="36" t="s">
        <v>321</v>
      </c>
      <c r="I280" s="135" t="s">
        <v>184</v>
      </c>
      <c r="J280" s="41"/>
    </row>
    <row r="281" spans="1:10" ht="12" customHeight="1">
      <c r="A281" s="28">
        <v>281</v>
      </c>
      <c r="B281" s="133" t="s">
        <v>302</v>
      </c>
      <c r="C281" s="109">
        <f>SQRT(E281^2+F281^2)</f>
        <v>17.02326195287651</v>
      </c>
      <c r="D281" s="109">
        <f>ATAN2(E281,F281)*180/PI()</f>
        <v>-90</v>
      </c>
      <c r="E281" s="39">
        <v>0</v>
      </c>
      <c r="F281" s="39">
        <f>C126</f>
        <v>-17.02326195287651</v>
      </c>
      <c r="G281" s="114"/>
      <c r="H281" s="41"/>
      <c r="I281" s="136" t="s">
        <v>343</v>
      </c>
      <c r="J281" s="39">
        <f>C126</f>
        <v>-17.02326195287651</v>
      </c>
    </row>
    <row r="282" spans="1:10" ht="12" customHeight="1">
      <c r="A282" s="28">
        <v>282</v>
      </c>
      <c r="B282" s="61" t="s">
        <v>189</v>
      </c>
      <c r="C282" s="39">
        <f>SQRT(E282^2+F282^2)</f>
        <v>416.17082654802397</v>
      </c>
      <c r="D282" s="39">
        <f>ATAN2(E282,F282)*180/PI()</f>
        <v>-27.454383360544096</v>
      </c>
      <c r="E282" s="39">
        <f>E165-E281</f>
        <v>369.3009098175801</v>
      </c>
      <c r="F282" s="39">
        <f>F165-F281</f>
        <v>-191.87234005341418</v>
      </c>
      <c r="G282" s="151">
        <f>F282/E282</f>
        <v>-0.519555557413036</v>
      </c>
      <c r="H282" s="44">
        <f>COS(D282/180*PI())</f>
        <v>0.8873781780447907</v>
      </c>
      <c r="I282" s="114"/>
      <c r="J282" s="41"/>
    </row>
    <row r="283" spans="1:10" ht="12" customHeight="1">
      <c r="A283" s="28">
        <v>283</v>
      </c>
      <c r="B283" s="41"/>
      <c r="C283" s="36"/>
      <c r="D283" s="36"/>
      <c r="E283" s="36"/>
      <c r="F283" s="36"/>
      <c r="G283" s="114"/>
      <c r="H283" s="41"/>
      <c r="I283" s="114"/>
      <c r="J283" s="41"/>
    </row>
    <row r="284" spans="1:10" ht="12" customHeight="1">
      <c r="A284" s="28">
        <v>284</v>
      </c>
      <c r="B284" s="41"/>
      <c r="C284" s="36" t="s">
        <v>29</v>
      </c>
      <c r="D284" s="36" t="s">
        <v>385</v>
      </c>
      <c r="E284" s="36" t="s">
        <v>228</v>
      </c>
      <c r="F284" s="36" t="s">
        <v>229</v>
      </c>
      <c r="G284" s="114"/>
      <c r="H284" s="41"/>
      <c r="I284" s="114"/>
      <c r="J284" s="41"/>
    </row>
    <row r="285" spans="1:10" ht="12" customHeight="1">
      <c r="A285" s="28">
        <v>285</v>
      </c>
      <c r="B285" s="133" t="s">
        <v>303</v>
      </c>
      <c r="C285" s="109">
        <f>SQRT(E285^2+F285^2)</f>
        <v>17.023261952876453</v>
      </c>
      <c r="D285" s="109">
        <f>ATAN2(E285,F285)*180/PI()</f>
        <v>90</v>
      </c>
      <c r="E285" s="39">
        <v>0</v>
      </c>
      <c r="F285" s="39">
        <f>C127</f>
        <v>17.023261952876453</v>
      </c>
      <c r="G285" s="114"/>
      <c r="H285" s="41"/>
      <c r="I285" s="136" t="s">
        <v>344</v>
      </c>
      <c r="J285" s="39">
        <f>C127</f>
        <v>17.023261952876453</v>
      </c>
    </row>
    <row r="286" spans="1:10" ht="12" customHeight="1">
      <c r="A286" s="28">
        <v>286</v>
      </c>
      <c r="B286" s="61" t="s">
        <v>190</v>
      </c>
      <c r="C286" s="39">
        <f>SQRT(E286^2+F286^2)</f>
        <v>362.29415514869925</v>
      </c>
      <c r="D286" s="39">
        <f>ATAN2(E286,F286)*180/PI()</f>
        <v>-31.978685140253333</v>
      </c>
      <c r="E286" s="39">
        <f>E179-E285</f>
        <v>307.31426907538275</v>
      </c>
      <c r="F286" s="39">
        <f>F179-F285</f>
        <v>-191.87234005341418</v>
      </c>
      <c r="G286" s="151">
        <f>F286/E286</f>
        <v>-0.6243522002108818</v>
      </c>
      <c r="H286" s="44">
        <f>COS(D286/180*PI())</f>
        <v>0.8482451751098478</v>
      </c>
      <c r="I286" s="114"/>
      <c r="J286" s="41"/>
    </row>
    <row r="287" spans="1:10" ht="12" customHeight="1">
      <c r="A287" s="28">
        <v>287</v>
      </c>
      <c r="B287" s="41"/>
      <c r="C287" s="40"/>
      <c r="D287" s="36"/>
      <c r="E287" s="40"/>
      <c r="F287" s="40"/>
      <c r="G287" s="41"/>
      <c r="H287" s="41"/>
      <c r="I287" s="41"/>
      <c r="J287" s="41"/>
    </row>
    <row r="288" spans="1:10" ht="12" customHeight="1">
      <c r="A288" s="28">
        <v>288</v>
      </c>
      <c r="B288" s="96" t="s">
        <v>286</v>
      </c>
      <c r="C288" s="40"/>
      <c r="D288" s="36"/>
      <c r="E288" s="40"/>
      <c r="F288" s="40"/>
      <c r="G288" s="134"/>
      <c r="H288" s="41"/>
      <c r="I288" s="41"/>
      <c r="J288" s="41"/>
    </row>
    <row r="289" spans="1:10" ht="12" customHeight="1">
      <c r="A289" s="28">
        <v>289</v>
      </c>
      <c r="B289" s="48" t="s">
        <v>11</v>
      </c>
      <c r="C289" s="36" t="s">
        <v>149</v>
      </c>
      <c r="D289" s="36" t="s">
        <v>385</v>
      </c>
      <c r="E289" s="36" t="s">
        <v>230</v>
      </c>
      <c r="F289" s="36" t="s">
        <v>231</v>
      </c>
      <c r="G289" s="36"/>
      <c r="H289" s="41"/>
      <c r="I289" s="41"/>
      <c r="J289" s="41"/>
    </row>
    <row r="290" spans="1:10" ht="12" customHeight="1">
      <c r="A290" s="28">
        <v>290</v>
      </c>
      <c r="B290" s="98" t="s">
        <v>183</v>
      </c>
      <c r="C290" s="178">
        <f>SQRT(E290^2+F290^2)</f>
        <v>74.90229447151388</v>
      </c>
      <c r="D290" s="179">
        <f>ATAN2(E290,F290)*180/PI()</f>
        <v>-2.214253418535122</v>
      </c>
      <c r="E290" s="39">
        <f>COS((D111+D281)/180*PI())*C111*C281</f>
        <v>74.84636760901734</v>
      </c>
      <c r="F290" s="39">
        <f>SIN((D111+D281)/180*PI())*C281*C111</f>
        <v>-2.8939545319890048</v>
      </c>
      <c r="G290" s="36"/>
      <c r="I290" s="98" t="s">
        <v>256</v>
      </c>
      <c r="J290" s="39">
        <f>((C290/1000)/C69)*100</f>
        <v>0.6486728981407373</v>
      </c>
    </row>
    <row r="291" spans="1:10" ht="12" customHeight="1">
      <c r="A291" s="28">
        <v>291</v>
      </c>
      <c r="B291" s="86" t="s">
        <v>185</v>
      </c>
      <c r="C291" s="39">
        <v>0</v>
      </c>
      <c r="D291" s="39">
        <v>0</v>
      </c>
      <c r="E291" s="36"/>
      <c r="F291" s="36"/>
      <c r="G291" s="41"/>
      <c r="H291" s="41"/>
      <c r="I291" s="41"/>
      <c r="J291" s="41"/>
    </row>
    <row r="292" spans="1:10" ht="12" customHeight="1">
      <c r="A292" s="28">
        <v>292</v>
      </c>
      <c r="B292" s="48" t="s">
        <v>187</v>
      </c>
      <c r="C292" s="62">
        <f>SQRT(E292^2+F292^2)</f>
        <v>11621.852111722992</v>
      </c>
      <c r="D292" s="39">
        <f>ATAN2(E292,F292)*180/PI()</f>
        <v>-0.0142672080920983</v>
      </c>
      <c r="E292" s="62">
        <f>E290+E75*1000</f>
        <v>11621.851751411534</v>
      </c>
      <c r="F292" s="39">
        <f>F290+F75*1000+0.0000000001</f>
        <v>-2.8939545318890048</v>
      </c>
      <c r="G292" s="41"/>
      <c r="I292" s="98" t="s">
        <v>285</v>
      </c>
      <c r="J292" s="50">
        <f>C290/C64</f>
        <v>0.3815722930239631</v>
      </c>
    </row>
    <row r="293" spans="1:10" ht="12" customHeight="1">
      <c r="A293" s="28">
        <v>293</v>
      </c>
      <c r="B293" s="41"/>
      <c r="C293" s="41"/>
      <c r="D293" s="41"/>
      <c r="E293" s="41"/>
      <c r="F293" s="41"/>
      <c r="G293" s="41"/>
      <c r="H293" s="41"/>
      <c r="I293" s="41"/>
      <c r="J293" s="41"/>
    </row>
    <row r="294" spans="1:10" ht="12" customHeight="1">
      <c r="A294" s="28">
        <v>294</v>
      </c>
      <c r="B294" s="41"/>
      <c r="C294" s="41"/>
      <c r="D294" s="41"/>
      <c r="E294" s="41"/>
      <c r="F294" s="41"/>
      <c r="G294" s="41"/>
      <c r="H294" s="41"/>
      <c r="I294" s="41"/>
      <c r="J294" s="41"/>
    </row>
    <row r="295" spans="1:10" ht="12" customHeight="1">
      <c r="A295" s="28">
        <v>295</v>
      </c>
      <c r="B295" s="41"/>
      <c r="C295" s="41"/>
      <c r="D295" s="41"/>
      <c r="E295" s="41"/>
      <c r="F295" s="41"/>
      <c r="G295" s="41"/>
      <c r="H295" s="41"/>
      <c r="I295" s="41"/>
      <c r="J295" s="41"/>
    </row>
    <row r="296" spans="2:10" ht="12" customHeight="1">
      <c r="B296" s="48" t="s">
        <v>105</v>
      </c>
      <c r="C296" s="61">
        <f>C48*(E3+E8)</f>
        <v>635.0852961085884</v>
      </c>
      <c r="D296" s="61">
        <f>D95</f>
        <v>-29.55989236260215</v>
      </c>
      <c r="E296" s="61">
        <f>COS((D296)/180*PI())*C296</f>
        <v>552.4228993493717</v>
      </c>
      <c r="F296" s="61">
        <f>SIN((D296)/180*PI())*C296</f>
        <v>-313.30859165967223</v>
      </c>
      <c r="G296" s="41"/>
      <c r="H296" s="41"/>
      <c r="I296" s="41"/>
      <c r="J296" s="41"/>
    </row>
    <row r="297" spans="2:10" ht="12" customHeight="1">
      <c r="B297" s="61" t="s">
        <v>379</v>
      </c>
      <c r="C297" s="51">
        <f>SQRT(E297^2+F297^2)</f>
        <v>79.99993792333048</v>
      </c>
      <c r="D297" s="56">
        <f>ATAN2(E297,F297)*180/PI()</f>
        <v>117.34563894406702</v>
      </c>
      <c r="E297" s="56">
        <f>(COS((D91-D296)/180*PI())*C91/C296)</f>
        <v>-36.74855043025561</v>
      </c>
      <c r="F297" s="56">
        <f>(SIN((D91-D296)/180*PI())*C91/C296)</f>
        <v>71.06007394459768</v>
      </c>
      <c r="G297" s="41"/>
      <c r="H297" s="41"/>
      <c r="I297" s="41"/>
      <c r="J297" s="41"/>
    </row>
    <row r="298" spans="2:10" ht="12" customHeight="1">
      <c r="B298" s="48"/>
      <c r="C298" s="51">
        <f>SQRT(E298^2+F298^2)</f>
        <v>77.57882712069149</v>
      </c>
      <c r="D298" s="56">
        <f>ATAN2(E298,F298)*180/PI()</f>
        <v>114.33092983468345</v>
      </c>
      <c r="E298" s="56">
        <f>E297-E147</f>
        <v>-31.962965452812956</v>
      </c>
      <c r="F298" s="56">
        <f>F297-F147</f>
        <v>70.68835304973814</v>
      </c>
      <c r="G298" s="41"/>
      <c r="H298" s="41"/>
      <c r="I298" s="41"/>
      <c r="J298" s="41"/>
    </row>
    <row r="299" spans="2:10" ht="12" customHeight="1">
      <c r="B299" s="60"/>
      <c r="C299" s="91">
        <f>SQRT(E299^2+F299^2)</f>
        <v>17.63156529970796</v>
      </c>
      <c r="D299" s="56">
        <f>ATAN2(E299,F299)*180/PI()</f>
        <v>26.54518325321856</v>
      </c>
      <c r="E299" s="56">
        <f>(COS((D298-D111)/180*PI())*C298/C111)</f>
        <v>15.772884710039648</v>
      </c>
      <c r="F299" s="56">
        <f>(SIN((D298-D111)/180*PI())*C298/C111)</f>
        <v>7.879606769481799</v>
      </c>
      <c r="G299" s="213">
        <f>C299-C55</f>
        <v>17.63156529970796</v>
      </c>
      <c r="H299" s="41"/>
      <c r="I299" s="41"/>
      <c r="J299" s="41"/>
    </row>
    <row r="303" spans="2:6" ht="12" customHeight="1">
      <c r="B303" s="22"/>
      <c r="D303" s="14"/>
      <c r="E303" s="56"/>
      <c r="F303" s="56"/>
    </row>
    <row r="304" spans="5:6" ht="12" customHeight="1">
      <c r="E304" s="206"/>
      <c r="F304" s="206"/>
    </row>
    <row r="305" spans="3:6" ht="12" customHeight="1">
      <c r="C305" s="46"/>
      <c r="D305" s="206"/>
      <c r="E305" s="206"/>
      <c r="F305" s="206"/>
    </row>
    <row r="306" spans="2:6" ht="12" customHeight="1">
      <c r="B306" s="48"/>
      <c r="C306" s="61"/>
      <c r="D306" s="61"/>
      <c r="E306" s="61"/>
      <c r="F306" s="61"/>
    </row>
    <row r="307" spans="2:6" ht="12" customHeight="1">
      <c r="B307" s="48"/>
      <c r="C307" s="61"/>
      <c r="D307" s="61"/>
      <c r="E307" s="61"/>
      <c r="F307" s="61"/>
    </row>
    <row r="308" spans="2:6" ht="12" customHeight="1">
      <c r="B308" s="61"/>
      <c r="C308" s="46"/>
      <c r="D308" s="206"/>
      <c r="E308" s="206"/>
      <c r="F308" s="206"/>
    </row>
    <row r="309" spans="3:6" ht="12" customHeight="1">
      <c r="C309" s="46"/>
      <c r="D309" s="206"/>
      <c r="E309" s="22"/>
      <c r="F309" s="22"/>
    </row>
  </sheetData>
  <sheetProtection password="C407" sheet="1" objects="1" scenarios="1"/>
  <conditionalFormatting sqref="J259 J290 C292:F292 J275 C277:F277 C261:F261 D198:F199 C194:C198 D194:E197 G193:J197 C179:F183 H186:H189 C172:D175 C126:C127 I126:I127 C105:J106 C165:F169 D95:F101 H172:H176 E172:E176 E186:E190 C186:D189">
    <cfRule type="cellIs" priority="1" dxfId="0" operator="lessThan" stopIfTrue="1">
      <formula>0</formula>
    </cfRule>
  </conditionalFormatting>
  <conditionalFormatting sqref="C62:D62 G41:H41 G27:H27 H21:H22 H35:H36">
    <cfRule type="cellIs" priority="2" dxfId="1" operator="notEqual" stopIfTrue="1">
      <formula>0</formula>
    </cfRule>
  </conditionalFormatting>
  <conditionalFormatting sqref="G107">
    <cfRule type="cellIs" priority="3" dxfId="1" operator="greaterThan" stopIfTrue="1">
      <formula>$J$107</formula>
    </cfRule>
  </conditionalFormatting>
  <conditionalFormatting sqref="C70:D70">
    <cfRule type="cellIs" priority="4" dxfId="2" operator="equal" stopIfTrue="1">
      <formula>0</formula>
    </cfRule>
  </conditionalFormatting>
  <conditionalFormatting sqref="J41 G39:H39 C41:D41 C27:D27 G25:H25">
    <cfRule type="cellIs" priority="5" dxfId="1" operator="greaterThan" stopIfTrue="1">
      <formula>0</formula>
    </cfRule>
  </conditionalFormatting>
  <printOptions gridLines="1"/>
  <pageMargins left="0.5511811023622047" right="0.3937007874015748" top="0.7480314960629921" bottom="0.7480314960629921" header="0.5118110236220472" footer="0.5118110236220472"/>
  <pageSetup horizontalDpi="300" verticalDpi="300" orientation="portrait" paperSize="9" r:id="rId3"/>
  <headerFooter alignWithMargins="0">
    <oddHeader>&amp;L&amp;D - &amp;T&amp;C&amp;F&amp;RBeispiel.........Seite &amp;P / &amp;N</oddHeader>
    <oddFooter>&amp;L&amp;9Ausgabe: 10-2006 / 02&amp;C&amp;8(sinusförmige Größen; starres Einspeisenetz; stationärer Netzzustand)&amp;R&amp;8Verfasser: Helmut Karger
e-mail: heka@vr-web.de</oddFooter>
  </headerFooter>
  <legacyDrawing r:id="rId2"/>
  <oleObjects>
    <oleObject progId="Designer.Drawing.7" shapeId="8436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Helmut Karger</cp:lastModifiedBy>
  <cp:lastPrinted>2006-10-27T09:19:14Z</cp:lastPrinted>
  <dcterms:created xsi:type="dcterms:W3CDTF">1996-10-17T05:27:31Z</dcterms:created>
  <dcterms:modified xsi:type="dcterms:W3CDTF">2006-11-03T18:27:00Z</dcterms:modified>
  <cp:category/>
  <cp:version/>
  <cp:contentType/>
  <cp:contentStatus/>
</cp:coreProperties>
</file>