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5" windowHeight="73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'Tabelle1'!$A$1:$K$280</definedName>
  </definedNames>
  <calcPr fullCalcOnLoad="1"/>
</workbook>
</file>

<file path=xl/sharedStrings.xml><?xml version="1.0" encoding="utf-8"?>
<sst xmlns="http://schemas.openxmlformats.org/spreadsheetml/2006/main" count="556" uniqueCount="389">
  <si>
    <t>Betrag</t>
  </si>
  <si>
    <t>Re</t>
  </si>
  <si>
    <t>Im</t>
  </si>
  <si>
    <t>Transformator A</t>
  </si>
  <si>
    <r>
      <t>S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[MVA]</t>
    </r>
  </si>
  <si>
    <r>
      <t>Z</t>
    </r>
    <r>
      <rPr>
        <vertAlign val="subscript"/>
        <sz val="8"/>
        <rFont val="Arial"/>
        <family val="2"/>
      </rPr>
      <t>kA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W]</t>
    </r>
  </si>
  <si>
    <r>
      <t>R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</si>
  <si>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</si>
  <si>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Transformator B</t>
  </si>
  <si>
    <r>
      <t>S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[MVA]</t>
    </r>
  </si>
  <si>
    <r>
      <t>Z</t>
    </r>
    <r>
      <rPr>
        <vertAlign val="subscript"/>
        <sz val="8"/>
        <rFont val="Arial"/>
        <family val="2"/>
      </rPr>
      <t>kB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W]</t>
    </r>
  </si>
  <si>
    <r>
      <t>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</si>
  <si>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</si>
  <si>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Transformator C</t>
  </si>
  <si>
    <r>
      <t>S</t>
    </r>
    <r>
      <rPr>
        <vertAlign val="subscript"/>
        <sz val="8"/>
        <rFont val="Arial"/>
        <family val="2"/>
      </rPr>
      <t>rC</t>
    </r>
    <r>
      <rPr>
        <sz val="8"/>
        <rFont val="Arial"/>
        <family val="2"/>
      </rPr>
      <t xml:space="preserve"> [MVA]</t>
    </r>
  </si>
  <si>
    <r>
      <t>Z</t>
    </r>
    <r>
      <rPr>
        <vertAlign val="subscript"/>
        <sz val="8"/>
        <rFont val="Arial"/>
        <family val="2"/>
      </rPr>
      <t>kC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W]</t>
    </r>
  </si>
  <si>
    <r>
      <t>R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</si>
  <si>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</si>
  <si>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TA</t>
  </si>
  <si>
    <t>TB</t>
  </si>
  <si>
    <t>TC</t>
  </si>
  <si>
    <t>I [A]</t>
  </si>
  <si>
    <r>
      <t>U</t>
    </r>
    <r>
      <rPr>
        <vertAlign val="subscript"/>
        <sz val="8"/>
        <rFont val="Arial"/>
        <family val="2"/>
      </rPr>
      <t>2rA</t>
    </r>
    <r>
      <rPr>
        <sz val="8"/>
        <rFont val="Arial"/>
        <family val="2"/>
      </rPr>
      <t xml:space="preserve"> [kV]</t>
    </r>
  </si>
  <si>
    <r>
      <t>U</t>
    </r>
    <r>
      <rPr>
        <vertAlign val="subscript"/>
        <sz val="8"/>
        <rFont val="Arial"/>
        <family val="2"/>
      </rPr>
      <t>2rB</t>
    </r>
    <r>
      <rPr>
        <sz val="8"/>
        <rFont val="Arial"/>
        <family val="2"/>
      </rPr>
      <t xml:space="preserve"> [kV]</t>
    </r>
  </si>
  <si>
    <r>
      <t>U</t>
    </r>
    <r>
      <rPr>
        <vertAlign val="subscript"/>
        <sz val="8"/>
        <rFont val="Arial"/>
        <family val="2"/>
      </rPr>
      <t>2rC</t>
    </r>
    <r>
      <rPr>
        <sz val="8"/>
        <rFont val="Arial"/>
        <family val="2"/>
      </rPr>
      <t xml:space="preserve"> [kV]</t>
    </r>
  </si>
  <si>
    <r>
      <t>I</t>
    </r>
    <r>
      <rPr>
        <vertAlign val="subscript"/>
        <sz val="8"/>
        <rFont val="Arial"/>
        <family val="2"/>
      </rPr>
      <t>2rA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</si>
  <si>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>2rB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</si>
  <si>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>2rC</t>
    </r>
    <r>
      <rPr>
        <sz val="8"/>
        <rFont val="Arial"/>
        <family val="2"/>
      </rPr>
      <t xml:space="preserve"> [A]</t>
    </r>
  </si>
  <si>
    <t>(+1 = ind., -1 = kap.)</t>
  </si>
  <si>
    <r>
      <t>U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</si>
  <si>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XA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</si>
  <si>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</si>
  <si>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RC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</si>
  <si>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XB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</si>
  <si>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XC</t>
    </r>
    <r>
      <rPr>
        <sz val="8"/>
        <rFont val="Arial"/>
        <family val="2"/>
      </rPr>
      <t xml:space="preserve"> [V]</t>
    </r>
  </si>
  <si>
    <r>
      <t>R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</si>
  <si>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</si>
  <si>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</si>
  <si>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</si>
  <si>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LtgC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</si>
  <si>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</t>
    </r>
    <r>
      <rPr>
        <vertAlign val="subscript"/>
        <sz val="8"/>
        <rFont val="Arial"/>
        <family val="2"/>
      </rPr>
      <t>LtgC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</si>
  <si>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= 1 / Z</t>
    </r>
    <r>
      <rPr>
        <vertAlign val="subscript"/>
        <sz val="8"/>
        <rFont val="Arial"/>
        <family val="2"/>
      </rPr>
      <t>A</t>
    </r>
  </si>
  <si>
    <t>Belastungsgrad</t>
  </si>
  <si>
    <t xml:space="preserve">Kreisströme </t>
  </si>
  <si>
    <t>S [MVA]</t>
  </si>
  <si>
    <t>Vorzeichen</t>
  </si>
  <si>
    <t>Leistungsreduzierung [%]</t>
  </si>
  <si>
    <r>
      <t>S</t>
    </r>
    <r>
      <rPr>
        <vertAlign val="subscript"/>
        <sz val="8"/>
        <rFont val="Arial"/>
        <family val="2"/>
      </rPr>
      <t>ri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rmittel</t>
    </r>
  </si>
  <si>
    <t>P [MW]</t>
  </si>
  <si>
    <r>
      <t>U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[kV]</t>
    </r>
  </si>
  <si>
    <r>
      <t>U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[kV]</t>
    </r>
  </si>
  <si>
    <r>
      <t>z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</si>
  <si>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XA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</si>
  <si>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</si>
  <si>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RC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</si>
  <si>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XB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</si>
  <si>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XC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</si>
  <si>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</si>
  <si>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A</t>
    </r>
  </si>
  <si>
    <r>
      <t>z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B</t>
    </r>
  </si>
  <si>
    <r>
      <t>z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C</t>
    </r>
  </si>
  <si>
    <r>
      <t>z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/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vertAlign val="subscript"/>
        <sz val="8"/>
        <rFont val="Arial"/>
        <family val="2"/>
      </rPr>
      <t>mittel</t>
    </r>
  </si>
  <si>
    <t>Ip [A]</t>
  </si>
  <si>
    <t>Iq [A]</t>
  </si>
  <si>
    <r>
      <t>U</t>
    </r>
    <r>
      <rPr>
        <vertAlign val="subscript"/>
        <sz val="8"/>
        <rFont val="Arial"/>
        <family val="2"/>
      </rPr>
      <t>TC</t>
    </r>
    <r>
      <rPr>
        <sz val="8"/>
        <rFont val="Arial"/>
        <family val="2"/>
      </rPr>
      <t xml:space="preserve"> [kV]</t>
    </r>
  </si>
  <si>
    <t>Bemessungswert</t>
  </si>
  <si>
    <r>
      <t>cos</t>
    </r>
    <r>
      <rPr>
        <sz val="8"/>
        <rFont val="Symbol"/>
        <family val="1"/>
      </rPr>
      <t>j</t>
    </r>
  </si>
  <si>
    <r>
      <t>Kreisstrom I</t>
    </r>
    <r>
      <rPr>
        <vertAlign val="subscript"/>
        <sz val="8"/>
        <rFont val="Arial"/>
        <family val="2"/>
      </rPr>
      <t>cirA</t>
    </r>
  </si>
  <si>
    <r>
      <t>Kreisstrom I</t>
    </r>
    <r>
      <rPr>
        <vertAlign val="subscript"/>
        <sz val="8"/>
        <rFont val="Arial"/>
        <family val="2"/>
      </rPr>
      <t>cirC</t>
    </r>
  </si>
  <si>
    <r>
      <t>Kreisstrom I</t>
    </r>
    <r>
      <rPr>
        <vertAlign val="subscript"/>
        <sz val="8"/>
        <rFont val="Arial"/>
        <family val="2"/>
      </rPr>
      <t>cirB</t>
    </r>
  </si>
  <si>
    <r>
      <t>I</t>
    </r>
    <r>
      <rPr>
        <vertAlign val="subscript"/>
        <sz val="8"/>
        <rFont val="Arial"/>
        <family val="2"/>
      </rPr>
      <t>LastC</t>
    </r>
  </si>
  <si>
    <r>
      <t>I*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cirA</t>
    </r>
  </si>
  <si>
    <r>
      <t>I*</t>
    </r>
    <r>
      <rPr>
        <vertAlign val="subscript"/>
        <sz val="8"/>
        <rFont val="Arial"/>
        <family val="2"/>
      </rPr>
      <t>cirB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cirB</t>
    </r>
  </si>
  <si>
    <r>
      <t>I*</t>
    </r>
    <r>
      <rPr>
        <vertAlign val="subscript"/>
        <sz val="8"/>
        <rFont val="Arial"/>
        <family val="2"/>
      </rPr>
      <t>cirC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cirC</t>
    </r>
  </si>
  <si>
    <r>
      <t>j</t>
    </r>
    <r>
      <rPr>
        <vertAlign val="subscript"/>
        <sz val="8"/>
        <rFont val="Arial"/>
        <family val="2"/>
      </rPr>
      <t>I</t>
    </r>
    <r>
      <rPr>
        <sz val="8"/>
        <rFont val="Symbol"/>
        <family val="1"/>
      </rPr>
      <t xml:space="preserve"> - j</t>
    </r>
    <r>
      <rPr>
        <vertAlign val="subscript"/>
        <sz val="8"/>
        <rFont val="Arial"/>
        <family val="2"/>
      </rPr>
      <t>U</t>
    </r>
    <r>
      <rPr>
        <sz val="8"/>
        <rFont val="Arial"/>
        <family val="2"/>
      </rPr>
      <t xml:space="preserve"> [°]</t>
    </r>
  </si>
  <si>
    <r>
      <t>Transformator-Belastung (U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>)</t>
    </r>
  </si>
  <si>
    <r>
      <t>Messwerte am Transformator (U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>)</t>
    </r>
  </si>
  <si>
    <r>
      <t>sin</t>
    </r>
    <r>
      <rPr>
        <sz val="8"/>
        <rFont val="Symbol"/>
        <family val="1"/>
      </rPr>
      <t>j</t>
    </r>
  </si>
  <si>
    <r>
      <t>Transformator-Belastung (U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>)</t>
    </r>
  </si>
  <si>
    <r>
      <t>Messwerte am Transformator (U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>)</t>
    </r>
  </si>
  <si>
    <r>
      <t>Transformator-Belastung (U</t>
    </r>
    <r>
      <rPr>
        <vertAlign val="subscript"/>
        <sz val="8"/>
        <rFont val="Arial"/>
        <family val="2"/>
      </rPr>
      <t>C0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TC</t>
    </r>
    <r>
      <rPr>
        <sz val="8"/>
        <rFont val="Arial"/>
        <family val="2"/>
      </rPr>
      <t>)</t>
    </r>
  </si>
  <si>
    <r>
      <t>Messwerte am Transformator (U</t>
    </r>
    <r>
      <rPr>
        <vertAlign val="subscript"/>
        <sz val="8"/>
        <rFont val="Arial"/>
        <family val="2"/>
      </rPr>
      <t>TC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TC</t>
    </r>
    <r>
      <rPr>
        <sz val="8"/>
        <rFont val="Arial"/>
        <family val="2"/>
      </rPr>
      <t>)</t>
    </r>
  </si>
  <si>
    <t>Transformator-Belastung</t>
  </si>
  <si>
    <t>Leitungsanteil</t>
  </si>
  <si>
    <t>Messwerte am Transformator</t>
  </si>
  <si>
    <r>
      <t>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(Y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>)</t>
    </r>
  </si>
  <si>
    <t>j</t>
  </si>
  <si>
    <r>
      <t>Ersatzspannung U</t>
    </r>
    <r>
      <rPr>
        <b/>
        <i/>
        <vertAlign val="subscript"/>
        <sz val="8"/>
        <rFont val="Arial"/>
        <family val="2"/>
      </rPr>
      <t>ABC0</t>
    </r>
  </si>
  <si>
    <r>
      <t>I</t>
    </r>
    <r>
      <rPr>
        <vertAlign val="subscript"/>
        <sz val="8"/>
        <rFont val="Arial"/>
        <family val="2"/>
      </rPr>
      <t>cirB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Last</t>
    </r>
  </si>
  <si>
    <r>
      <t>I</t>
    </r>
    <r>
      <rPr>
        <vertAlign val="subscript"/>
        <sz val="8"/>
        <rFont val="Arial"/>
        <family val="2"/>
      </rPr>
      <t>cirC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Last</t>
    </r>
  </si>
  <si>
    <r>
      <t>I*</t>
    </r>
    <r>
      <rPr>
        <vertAlign val="subscript"/>
        <sz val="8"/>
        <rFont val="Arial"/>
        <family val="2"/>
      </rPr>
      <t>cirA</t>
    </r>
  </si>
  <si>
    <r>
      <t>I*</t>
    </r>
    <r>
      <rPr>
        <vertAlign val="subscript"/>
        <sz val="8"/>
        <rFont val="Arial"/>
        <family val="2"/>
      </rPr>
      <t>cirB</t>
    </r>
  </si>
  <si>
    <r>
      <t>I*</t>
    </r>
    <r>
      <rPr>
        <vertAlign val="subscript"/>
        <sz val="8"/>
        <rFont val="Arial"/>
        <family val="2"/>
      </rPr>
      <t>cirC</t>
    </r>
  </si>
  <si>
    <r>
      <t>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</si>
  <si>
    <r>
      <t>Y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</si>
  <si>
    <t>Einheitlicher Belastungsgrad</t>
  </si>
  <si>
    <t>Verteilung des Laststromes</t>
  </si>
  <si>
    <t>Ströme in Transformator A</t>
  </si>
  <si>
    <t>Leistungswerte von Transformator A</t>
  </si>
  <si>
    <t>Leistungswerte von Transformator B</t>
  </si>
  <si>
    <r>
      <t>U</t>
    </r>
    <r>
      <rPr>
        <vertAlign val="subscript"/>
        <sz val="8"/>
        <rFont val="Arial"/>
        <family val="2"/>
      </rPr>
      <t>A0r</t>
    </r>
    <r>
      <rPr>
        <sz val="8"/>
        <rFont val="Arial"/>
        <family val="2"/>
      </rPr>
      <t xml:space="preserve"> [kV]</t>
    </r>
  </si>
  <si>
    <r>
      <t>U</t>
    </r>
    <r>
      <rPr>
        <vertAlign val="subscript"/>
        <sz val="8"/>
        <rFont val="Arial"/>
        <family val="2"/>
      </rPr>
      <t>B0r</t>
    </r>
    <r>
      <rPr>
        <sz val="8"/>
        <rFont val="Arial"/>
        <family val="2"/>
      </rPr>
      <t xml:space="preserve"> [kV]</t>
    </r>
  </si>
  <si>
    <r>
      <t>U</t>
    </r>
    <r>
      <rPr>
        <vertAlign val="subscript"/>
        <sz val="8"/>
        <rFont val="Arial"/>
        <family val="2"/>
      </rPr>
      <t>C0r</t>
    </r>
    <r>
      <rPr>
        <sz val="8"/>
        <rFont val="Arial"/>
        <family val="2"/>
      </rPr>
      <t xml:space="preserve"> [kV]</t>
    </r>
  </si>
  <si>
    <t>Istwert</t>
  </si>
  <si>
    <r>
      <t>I</t>
    </r>
    <r>
      <rPr>
        <vertAlign val="subscript"/>
        <sz val="8"/>
        <rFont val="Arial"/>
        <family val="2"/>
      </rPr>
      <t>LastA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LastB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LastC</t>
    </r>
  </si>
  <si>
    <t>Lastanteil</t>
  </si>
  <si>
    <r>
      <t>Lastanteil (U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LastA</t>
    </r>
    <r>
      <rPr>
        <sz val="8"/>
        <rFont val="Arial"/>
        <family val="2"/>
      </rPr>
      <t>)</t>
    </r>
  </si>
  <si>
    <t>Summenwerte</t>
  </si>
  <si>
    <r>
      <t>Lastanteil (U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LastB</t>
    </r>
    <r>
      <rPr>
        <sz val="8"/>
        <rFont val="Arial"/>
        <family val="2"/>
      </rPr>
      <t>)</t>
    </r>
  </si>
  <si>
    <r>
      <t>Lastanteil (U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LastC</t>
    </r>
    <r>
      <rPr>
        <sz val="8"/>
        <rFont val="Arial"/>
        <family val="2"/>
      </rPr>
      <t>)</t>
    </r>
  </si>
  <si>
    <t>Ströme in Transformator B</t>
  </si>
  <si>
    <t>Leistungswerte von Transformator C</t>
  </si>
  <si>
    <t>Ströme in Transformator C</t>
  </si>
  <si>
    <r>
      <t>I</t>
    </r>
    <r>
      <rPr>
        <vertAlign val="subscript"/>
        <sz val="8"/>
        <rFont val="Arial"/>
        <family val="2"/>
      </rPr>
      <t>LastA</t>
    </r>
  </si>
  <si>
    <r>
      <t>I</t>
    </r>
    <r>
      <rPr>
        <vertAlign val="subscript"/>
        <sz val="8"/>
        <rFont val="Arial"/>
        <family val="2"/>
      </rPr>
      <t>LastB</t>
    </r>
  </si>
  <si>
    <r>
      <t>I</t>
    </r>
    <r>
      <rPr>
        <vertAlign val="subscript"/>
        <sz val="8"/>
        <rFont val="Arial"/>
        <family val="2"/>
      </rPr>
      <t>cirA</t>
    </r>
  </si>
  <si>
    <r>
      <t>I</t>
    </r>
    <r>
      <rPr>
        <vertAlign val="subscript"/>
        <sz val="8"/>
        <rFont val="Arial"/>
        <family val="2"/>
      </rPr>
      <t>cirB</t>
    </r>
  </si>
  <si>
    <r>
      <t>I</t>
    </r>
    <r>
      <rPr>
        <vertAlign val="subscript"/>
        <sz val="8"/>
        <rFont val="Arial"/>
        <family val="2"/>
      </rPr>
      <t>cirC</t>
    </r>
  </si>
  <si>
    <t>Leitungsanteil / Lastanteil [%]</t>
  </si>
  <si>
    <r>
      <t>S'</t>
    </r>
    <r>
      <rPr>
        <vertAlign val="subscript"/>
        <sz val="8"/>
        <rFont val="Arial"/>
        <family val="2"/>
      </rPr>
      <t>rA</t>
    </r>
    <r>
      <rPr>
        <sz val="8"/>
        <rFont val="Arial"/>
        <family val="2"/>
      </rPr>
      <t xml:space="preserve"> [MVA]</t>
    </r>
  </si>
  <si>
    <r>
      <t>S'</t>
    </r>
    <r>
      <rPr>
        <vertAlign val="subscript"/>
        <sz val="8"/>
        <rFont val="Arial"/>
        <family val="2"/>
      </rPr>
      <t>rB</t>
    </r>
    <r>
      <rPr>
        <sz val="8"/>
        <rFont val="Arial"/>
        <family val="2"/>
      </rPr>
      <t xml:space="preserve"> [MVA]</t>
    </r>
  </si>
  <si>
    <r>
      <t>S'</t>
    </r>
    <r>
      <rPr>
        <vertAlign val="subscript"/>
        <sz val="8"/>
        <rFont val="Arial"/>
        <family val="2"/>
      </rPr>
      <t>rC</t>
    </r>
    <r>
      <rPr>
        <sz val="8"/>
        <rFont val="Arial"/>
        <family val="2"/>
      </rPr>
      <t xml:space="preserve"> [MVA]</t>
    </r>
  </si>
  <si>
    <r>
      <t>S'</t>
    </r>
    <r>
      <rPr>
        <vertAlign val="subscript"/>
        <sz val="8"/>
        <rFont val="Arial"/>
        <family val="2"/>
      </rPr>
      <t>r</t>
    </r>
    <r>
      <rPr>
        <vertAlign val="subscript"/>
        <sz val="8"/>
        <rFont val="Symbol"/>
        <family val="1"/>
      </rPr>
      <t>S</t>
    </r>
  </si>
  <si>
    <r>
      <t>S'</t>
    </r>
    <r>
      <rPr>
        <vertAlign val="subscript"/>
        <sz val="8"/>
        <rFont val="Arial"/>
        <family val="2"/>
      </rPr>
      <t>r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 </t>
    </r>
  </si>
  <si>
    <t>Leiter-Sternpunkt-Spannungen</t>
  </si>
  <si>
    <t>Laststrom pro Strang</t>
  </si>
  <si>
    <r>
      <t>DI</t>
    </r>
    <r>
      <rPr>
        <b/>
        <i/>
        <sz val="8"/>
        <rFont val="Arial"/>
        <family val="2"/>
      </rPr>
      <t>sin</t>
    </r>
    <r>
      <rPr>
        <b/>
        <i/>
        <sz val="8"/>
        <rFont val="Symbol"/>
        <family val="1"/>
      </rPr>
      <t>j</t>
    </r>
    <r>
      <rPr>
        <b/>
        <i/>
        <sz val="8"/>
        <rFont val="Arial"/>
        <family val="2"/>
      </rPr>
      <t>(S)-Verfahren</t>
    </r>
  </si>
  <si>
    <r>
      <t>z</t>
    </r>
    <r>
      <rPr>
        <vertAlign val="subscript"/>
        <sz val="8"/>
        <rFont val="Arial"/>
        <family val="2"/>
      </rPr>
      <t xml:space="preserve">A = 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 xml:space="preserve">kA </t>
    </r>
    <r>
      <rPr>
        <sz val="8"/>
        <rFont val="Arial"/>
        <family val="2"/>
      </rPr>
      <t>[%]</t>
    </r>
  </si>
  <si>
    <r>
      <t>j</t>
    </r>
    <r>
      <rPr>
        <vertAlign val="subscript"/>
        <sz val="8"/>
        <rFont val="Arial"/>
        <family val="2"/>
      </rPr>
      <t>kA</t>
    </r>
    <r>
      <rPr>
        <sz val="8"/>
        <rFont val="Arial"/>
        <family val="2"/>
      </rPr>
      <t xml:space="preserve"> [°]</t>
    </r>
  </si>
  <si>
    <r>
      <t>z</t>
    </r>
    <r>
      <rPr>
        <vertAlign val="subscript"/>
        <sz val="8"/>
        <rFont val="Arial"/>
        <family val="2"/>
      </rPr>
      <t xml:space="preserve">B = 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 xml:space="preserve">kB </t>
    </r>
    <r>
      <rPr>
        <sz val="8"/>
        <rFont val="Arial"/>
        <family val="2"/>
      </rPr>
      <t>[%]</t>
    </r>
  </si>
  <si>
    <r>
      <t>z</t>
    </r>
    <r>
      <rPr>
        <vertAlign val="subscript"/>
        <sz val="8"/>
        <rFont val="Arial"/>
        <family val="2"/>
      </rPr>
      <t xml:space="preserve">C = 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 xml:space="preserve">kC </t>
    </r>
    <r>
      <rPr>
        <sz val="8"/>
        <rFont val="Arial"/>
        <family val="2"/>
      </rPr>
      <t>[%]</t>
    </r>
  </si>
  <si>
    <r>
      <t>j</t>
    </r>
    <r>
      <rPr>
        <vertAlign val="subscript"/>
        <sz val="8"/>
        <rFont val="Arial"/>
        <family val="2"/>
      </rPr>
      <t>kC</t>
    </r>
    <r>
      <rPr>
        <sz val="8"/>
        <rFont val="Arial"/>
        <family val="2"/>
      </rPr>
      <t xml:space="preserve"> [°]</t>
    </r>
  </si>
  <si>
    <r>
      <t>j</t>
    </r>
    <r>
      <rPr>
        <vertAlign val="subscript"/>
        <sz val="8"/>
        <rFont val="Arial"/>
        <family val="2"/>
      </rPr>
      <t>kB</t>
    </r>
    <r>
      <rPr>
        <sz val="8"/>
        <rFont val="Arial"/>
        <family val="2"/>
      </rPr>
      <t xml:space="preserve"> [°]</t>
    </r>
  </si>
  <si>
    <r>
      <t>U</t>
    </r>
    <r>
      <rPr>
        <vertAlign val="subscript"/>
        <sz val="8"/>
        <rFont val="Arial"/>
        <family val="2"/>
      </rPr>
      <t>kA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</si>
  <si>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kB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</si>
  <si>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kC</t>
    </r>
    <r>
      <rPr>
        <sz val="8"/>
        <rFont val="Arial"/>
        <family val="2"/>
      </rPr>
      <t xml:space="preserve"> [V]</t>
    </r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</si>
  <si>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kA</t>
    </r>
  </si>
  <si>
    <r>
      <t>sin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kA</t>
    </r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</si>
  <si>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kC</t>
    </r>
  </si>
  <si>
    <r>
      <t>sin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kC</t>
    </r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</si>
  <si>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kB</t>
    </r>
  </si>
  <si>
    <r>
      <t>sin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kB</t>
    </r>
  </si>
  <si>
    <r>
      <t>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/ (Y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>)</t>
    </r>
  </si>
  <si>
    <r>
      <t>Y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/ (Y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>)</t>
    </r>
  </si>
  <si>
    <r>
      <t>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= 1 / Z</t>
    </r>
    <r>
      <rPr>
        <vertAlign val="subscript"/>
        <sz val="8"/>
        <rFont val="Arial"/>
        <family val="2"/>
      </rPr>
      <t>B</t>
    </r>
  </si>
  <si>
    <r>
      <t>Y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= 1 / Z</t>
    </r>
    <r>
      <rPr>
        <vertAlign val="subscript"/>
        <sz val="8"/>
        <rFont val="Arial"/>
        <family val="2"/>
      </rPr>
      <t>C</t>
    </r>
  </si>
  <si>
    <r>
      <t>A1 = 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C</t>
    </r>
  </si>
  <si>
    <r>
      <t>B2 / A2 = I</t>
    </r>
    <r>
      <rPr>
        <vertAlign val="subscript"/>
        <sz val="8"/>
        <rFont val="Arial"/>
        <family val="2"/>
      </rPr>
      <t>Last</t>
    </r>
  </si>
  <si>
    <r>
      <t>A2 = Y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C</t>
    </r>
  </si>
  <si>
    <t xml:space="preserve">Spannung an den Transformatoren </t>
  </si>
  <si>
    <r>
      <t>Transformatorstrom I</t>
    </r>
    <r>
      <rPr>
        <vertAlign val="subscript"/>
        <sz val="8"/>
        <rFont val="Arial"/>
        <family val="2"/>
      </rPr>
      <t xml:space="preserve">TA </t>
    </r>
    <r>
      <rPr>
        <sz val="8"/>
        <rFont val="Arial"/>
        <family val="2"/>
      </rPr>
      <t xml:space="preserve"> (Strang)</t>
    </r>
  </si>
  <si>
    <r>
      <t>Laststrom I</t>
    </r>
    <r>
      <rPr>
        <vertAlign val="subscript"/>
        <sz val="8"/>
        <rFont val="Arial"/>
        <family val="2"/>
      </rPr>
      <t xml:space="preserve">LastA </t>
    </r>
    <r>
      <rPr>
        <sz val="8"/>
        <rFont val="Arial"/>
        <family val="2"/>
      </rPr>
      <t xml:space="preserve"> (Strang)</t>
    </r>
  </si>
  <si>
    <r>
      <t>Transformatorstrom I</t>
    </r>
    <r>
      <rPr>
        <vertAlign val="subscript"/>
        <sz val="8"/>
        <rFont val="Arial"/>
        <family val="2"/>
      </rPr>
      <t xml:space="preserve">TB </t>
    </r>
    <r>
      <rPr>
        <sz val="8"/>
        <rFont val="Arial"/>
        <family val="2"/>
      </rPr>
      <t xml:space="preserve"> (Strang)</t>
    </r>
  </si>
  <si>
    <r>
      <t>Transformatorstrom I</t>
    </r>
    <r>
      <rPr>
        <vertAlign val="subscript"/>
        <sz val="8"/>
        <rFont val="Arial"/>
        <family val="2"/>
      </rPr>
      <t xml:space="preserve">TC </t>
    </r>
    <r>
      <rPr>
        <sz val="8"/>
        <rFont val="Arial"/>
        <family val="2"/>
      </rPr>
      <t xml:space="preserve"> (Strang)</t>
    </r>
  </si>
  <si>
    <r>
      <t>Laststrom I</t>
    </r>
    <r>
      <rPr>
        <vertAlign val="subscript"/>
        <sz val="8"/>
        <rFont val="Arial"/>
        <family val="2"/>
      </rPr>
      <t xml:space="preserve">LastB </t>
    </r>
    <r>
      <rPr>
        <sz val="8"/>
        <rFont val="Arial"/>
        <family val="2"/>
      </rPr>
      <t xml:space="preserve"> (Strang)</t>
    </r>
  </si>
  <si>
    <r>
      <t>Laststrom I</t>
    </r>
    <r>
      <rPr>
        <vertAlign val="subscript"/>
        <sz val="8"/>
        <rFont val="Arial"/>
        <family val="2"/>
      </rPr>
      <t xml:space="preserve">LastC </t>
    </r>
    <r>
      <rPr>
        <sz val="8"/>
        <rFont val="Arial"/>
        <family val="2"/>
      </rPr>
      <t xml:space="preserve"> (Strang)</t>
    </r>
  </si>
  <si>
    <r>
      <t>Y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x A5</t>
    </r>
  </si>
  <si>
    <r>
      <t>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x A3</t>
    </r>
  </si>
  <si>
    <r>
      <t>S'</t>
    </r>
    <r>
      <rPr>
        <vertAlign val="subscript"/>
        <sz val="8"/>
        <rFont val="Arial"/>
        <family val="2"/>
      </rPr>
      <t xml:space="preserve">ri </t>
    </r>
    <r>
      <rPr>
        <sz val="8"/>
        <rFont val="Arial"/>
        <family val="2"/>
      </rPr>
      <t>bei Belastungsgrad &lt;= 1</t>
    </r>
  </si>
  <si>
    <r>
      <t>S'</t>
    </r>
    <r>
      <rPr>
        <vertAlign val="subscript"/>
        <sz val="8"/>
        <rFont val="Arial"/>
        <family val="2"/>
      </rPr>
      <t>ri</t>
    </r>
    <r>
      <rPr>
        <sz val="8"/>
        <rFont val="Arial"/>
        <family val="2"/>
      </rPr>
      <t xml:space="preserve"> bei einheitlichem Belastungsgrad</t>
    </r>
  </si>
  <si>
    <r>
      <t>S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</t>
    </r>
    <r>
      <rPr>
        <vertAlign val="subscript"/>
        <sz val="8"/>
        <rFont val="Symbol"/>
        <family val="1"/>
      </rPr>
      <t>S</t>
    </r>
  </si>
  <si>
    <r>
      <t>S</t>
    </r>
    <r>
      <rPr>
        <vertAlign val="subscript"/>
        <sz val="8"/>
        <rFont val="Arial"/>
        <family val="2"/>
      </rPr>
      <t>ri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</t>
    </r>
    <r>
      <rPr>
        <vertAlign val="subscript"/>
        <sz val="8"/>
        <rFont val="Symbol"/>
        <family val="1"/>
      </rPr>
      <t>S</t>
    </r>
  </si>
  <si>
    <t>Impedanzen pro Strang</t>
  </si>
  <si>
    <r>
      <t>S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[MVA]</t>
    </r>
  </si>
  <si>
    <t>sgn Winkel</t>
  </si>
  <si>
    <r>
      <t>B1 = 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C0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C</t>
    </r>
  </si>
  <si>
    <r>
      <t>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A4</t>
    </r>
  </si>
  <si>
    <r>
      <t>I*</t>
    </r>
    <r>
      <rPr>
        <vertAlign val="subscript"/>
        <sz val="8"/>
        <rFont val="Arial"/>
        <family val="2"/>
      </rPr>
      <t>ciri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 xml:space="preserve">qTi </t>
    </r>
    <r>
      <rPr>
        <sz val="8"/>
        <rFont val="Arial"/>
        <family val="2"/>
      </rPr>
      <t>- I</t>
    </r>
    <r>
      <rPr>
        <vertAlign val="subscript"/>
        <sz val="8"/>
        <rFont val="Arial"/>
        <family val="2"/>
      </rPr>
      <t xml:space="preserve">qLast </t>
    </r>
    <r>
      <rPr>
        <sz val="8"/>
        <rFont val="Arial"/>
        <family val="2"/>
      </rPr>
      <t>(S</t>
    </r>
    <r>
      <rPr>
        <vertAlign val="subscript"/>
        <sz val="8"/>
        <rFont val="Arial"/>
        <family val="2"/>
      </rPr>
      <t>ri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</t>
    </r>
    <r>
      <rPr>
        <vertAlign val="subscript"/>
        <sz val="8"/>
        <rFont val="Symbol"/>
        <family val="1"/>
      </rPr>
      <t>S</t>
    </r>
    <r>
      <rPr>
        <sz val="8"/>
        <rFont val="Symbol"/>
        <family val="1"/>
      </rPr>
      <t>)</t>
    </r>
  </si>
  <si>
    <r>
      <t>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kA</t>
    </r>
  </si>
  <si>
    <r>
      <t>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kB</t>
    </r>
  </si>
  <si>
    <r>
      <t>I</t>
    </r>
    <r>
      <rPr>
        <vertAlign val="subscript"/>
        <sz val="8"/>
        <rFont val="Arial"/>
        <family val="2"/>
      </rPr>
      <t>TC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kC</t>
    </r>
  </si>
  <si>
    <r>
      <t>B3 = 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C0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Last</t>
    </r>
  </si>
  <si>
    <r>
      <t>U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LtgA</t>
    </r>
  </si>
  <si>
    <r>
      <t>U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LtgB</t>
    </r>
  </si>
  <si>
    <r>
      <t>U</t>
    </r>
    <r>
      <rPr>
        <vertAlign val="subscript"/>
        <sz val="8"/>
        <rFont val="Arial"/>
        <family val="2"/>
      </rPr>
      <t>LtgC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TC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LtgC</t>
    </r>
  </si>
  <si>
    <r>
      <t>S</t>
    </r>
    <r>
      <rPr>
        <vertAlign val="subscript"/>
        <sz val="8"/>
        <rFont val="Arial"/>
        <family val="2"/>
      </rPr>
      <t>mittel</t>
    </r>
    <r>
      <rPr>
        <sz val="8"/>
        <rFont val="Arial"/>
        <family val="2"/>
      </rPr>
      <t xml:space="preserve"> [MVA]</t>
    </r>
  </si>
  <si>
    <r>
      <t>z</t>
    </r>
    <r>
      <rPr>
        <vertAlign val="subscript"/>
        <sz val="8"/>
        <rFont val="Arial"/>
        <family val="2"/>
      </rPr>
      <t>mittel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</si>
  <si>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Sternschaltung</t>
  </si>
  <si>
    <t>Belastungsgrad und Art</t>
  </si>
  <si>
    <t>Last in Sternschaltung; symmetrisch</t>
  </si>
  <si>
    <r>
      <t>B2 = (U</t>
    </r>
    <r>
      <rPr>
        <vertAlign val="subscript"/>
        <sz val="8"/>
        <rFont val="Arial"/>
        <family val="2"/>
      </rPr>
      <t>ABC0Y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>)  (Y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>)</t>
    </r>
  </si>
  <si>
    <r>
      <t xml:space="preserve"> 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</si>
  <si>
    <r>
      <t>B3 / A1 = 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</si>
  <si>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Verbraucher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</si>
  <si>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kA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</si>
  <si>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kB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 xml:space="preserve">LtgB </t>
    </r>
  </si>
  <si>
    <r>
      <t>Z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kC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 xml:space="preserve">LtgC </t>
    </r>
  </si>
  <si>
    <t>U [V]</t>
  </si>
  <si>
    <r>
      <t>I</t>
    </r>
    <r>
      <rPr>
        <i/>
        <vertAlign val="subscript"/>
        <sz val="8"/>
        <rFont val="Arial"/>
        <family val="2"/>
      </rPr>
      <t>LastC</t>
    </r>
    <r>
      <rPr>
        <i/>
        <sz val="8"/>
        <rFont val="Arial"/>
        <family val="2"/>
      </rPr>
      <t xml:space="preserve"> Z</t>
    </r>
    <r>
      <rPr>
        <i/>
        <vertAlign val="subscript"/>
        <sz val="8"/>
        <rFont val="Arial"/>
        <family val="2"/>
      </rPr>
      <t>C</t>
    </r>
  </si>
  <si>
    <r>
      <t>I</t>
    </r>
    <r>
      <rPr>
        <i/>
        <vertAlign val="subscript"/>
        <sz val="8"/>
        <rFont val="Arial"/>
        <family val="2"/>
      </rPr>
      <t>LastB</t>
    </r>
    <r>
      <rPr>
        <i/>
        <sz val="8"/>
        <rFont val="Arial"/>
        <family val="2"/>
      </rPr>
      <t xml:space="preserve"> Z</t>
    </r>
    <r>
      <rPr>
        <i/>
        <vertAlign val="subscript"/>
        <sz val="8"/>
        <rFont val="Arial"/>
        <family val="2"/>
      </rPr>
      <t>B</t>
    </r>
  </si>
  <si>
    <r>
      <t>U</t>
    </r>
    <r>
      <rPr>
        <vertAlign val="subscript"/>
        <sz val="8"/>
        <rFont val="Arial"/>
        <family val="2"/>
      </rPr>
      <t>A0</t>
    </r>
  </si>
  <si>
    <r>
      <t>U</t>
    </r>
    <r>
      <rPr>
        <vertAlign val="subscript"/>
        <sz val="8"/>
        <rFont val="Arial"/>
        <family val="2"/>
      </rPr>
      <t>B0</t>
    </r>
  </si>
  <si>
    <r>
      <t>U</t>
    </r>
    <r>
      <rPr>
        <vertAlign val="subscript"/>
        <sz val="8"/>
        <rFont val="Arial"/>
        <family val="2"/>
      </rPr>
      <t>C0</t>
    </r>
  </si>
  <si>
    <r>
      <t>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A</t>
    </r>
  </si>
  <si>
    <r>
      <t>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B</t>
    </r>
  </si>
  <si>
    <r>
      <t>U</t>
    </r>
    <r>
      <rPr>
        <vertAlign val="subscript"/>
        <sz val="8"/>
        <rFont val="Arial"/>
        <family val="2"/>
      </rPr>
      <t>C0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C</t>
    </r>
  </si>
  <si>
    <r>
      <t>B1 / A1 = U</t>
    </r>
    <r>
      <rPr>
        <vertAlign val="subscript"/>
        <sz val="8"/>
        <rFont val="Arial"/>
        <family val="2"/>
      </rPr>
      <t>ABC0</t>
    </r>
  </si>
  <si>
    <r>
      <t>U</t>
    </r>
    <r>
      <rPr>
        <vertAlign val="subscript"/>
        <sz val="8"/>
        <rFont val="Arial"/>
        <family val="2"/>
      </rPr>
      <t>ABC0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Last</t>
    </r>
  </si>
  <si>
    <r>
      <t>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B</t>
    </r>
  </si>
  <si>
    <r>
      <t>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C</t>
    </r>
  </si>
  <si>
    <r>
      <t>A3 = U</t>
    </r>
    <r>
      <rPr>
        <vertAlign val="subscript"/>
        <sz val="8"/>
        <rFont val="Arial"/>
        <family val="2"/>
      </rPr>
      <t xml:space="preserve">A0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 xml:space="preserve">A0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 xml:space="preserve">B0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 xml:space="preserve">C0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C</t>
    </r>
  </si>
  <si>
    <r>
      <t>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A</t>
    </r>
  </si>
  <si>
    <r>
      <t>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C</t>
    </r>
  </si>
  <si>
    <r>
      <t>A4 = U</t>
    </r>
    <r>
      <rPr>
        <vertAlign val="subscript"/>
        <sz val="8"/>
        <rFont val="Arial"/>
        <family val="2"/>
      </rPr>
      <t xml:space="preserve">B0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 xml:space="preserve">B0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 xml:space="preserve">A0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 xml:space="preserve">C0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C</t>
    </r>
  </si>
  <si>
    <r>
      <t>U</t>
    </r>
    <r>
      <rPr>
        <vertAlign val="subscript"/>
        <sz val="8"/>
        <rFont val="Arial"/>
        <family val="2"/>
      </rPr>
      <t>C0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A</t>
    </r>
  </si>
  <si>
    <r>
      <t>U</t>
    </r>
    <r>
      <rPr>
        <vertAlign val="subscript"/>
        <sz val="8"/>
        <rFont val="Arial"/>
        <family val="2"/>
      </rPr>
      <t>C0</t>
    </r>
    <r>
      <rPr>
        <sz val="8"/>
        <rFont val="Arial"/>
        <family val="2"/>
      </rPr>
      <t xml:space="preserve"> Y</t>
    </r>
    <r>
      <rPr>
        <vertAlign val="subscript"/>
        <sz val="8"/>
        <rFont val="Arial"/>
        <family val="2"/>
      </rPr>
      <t>B</t>
    </r>
  </si>
  <si>
    <r>
      <t>A5 = U</t>
    </r>
    <r>
      <rPr>
        <vertAlign val="subscript"/>
        <sz val="8"/>
        <rFont val="Arial"/>
        <family val="2"/>
      </rPr>
      <t xml:space="preserve">C0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 xml:space="preserve">C0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 xml:space="preserve">A0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 xml:space="preserve">B0 </t>
    </r>
    <r>
      <rPr>
        <sz val="8"/>
        <rFont val="Arial"/>
        <family val="2"/>
      </rPr>
      <t>Y</t>
    </r>
    <r>
      <rPr>
        <vertAlign val="subscript"/>
        <sz val="8"/>
        <rFont val="Arial"/>
        <family val="2"/>
      </rPr>
      <t>B</t>
    </r>
  </si>
  <si>
    <r>
      <t>I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</si>
  <si>
    <r>
      <t>I</t>
    </r>
    <r>
      <rPr>
        <i/>
        <vertAlign val="subscript"/>
        <sz val="8"/>
        <rFont val="Arial"/>
        <family val="2"/>
      </rPr>
      <t>LastA</t>
    </r>
    <r>
      <rPr>
        <i/>
        <sz val="8"/>
        <rFont val="Arial"/>
        <family val="2"/>
      </rPr>
      <t xml:space="preserve"> Z</t>
    </r>
    <r>
      <rPr>
        <i/>
        <vertAlign val="subscript"/>
        <sz val="8"/>
        <rFont val="Arial"/>
        <family val="2"/>
      </rPr>
      <t xml:space="preserve">A </t>
    </r>
    <r>
      <rPr>
        <i/>
        <sz val="8"/>
        <rFont val="Arial"/>
        <family val="2"/>
      </rPr>
      <t>[V]</t>
    </r>
  </si>
  <si>
    <r>
      <t>I</t>
    </r>
    <r>
      <rPr>
        <vertAlign val="subscript"/>
        <sz val="8"/>
        <rFont val="Arial"/>
        <family val="2"/>
      </rPr>
      <t>pT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</si>
  <si>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>qT</t>
    </r>
    <r>
      <rPr>
        <sz val="8"/>
        <rFont val="Arial"/>
        <family val="2"/>
      </rPr>
      <t xml:space="preserve"> [A]</t>
    </r>
  </si>
  <si>
    <r>
      <t>D</t>
    </r>
    <r>
      <rPr>
        <sz val="8"/>
        <rFont val="Arial"/>
        <family val="2"/>
      </rPr>
      <t>S [kVA]</t>
    </r>
  </si>
  <si>
    <r>
      <t>D</t>
    </r>
    <r>
      <rPr>
        <sz val="8"/>
        <rFont val="Arial"/>
        <family val="2"/>
      </rPr>
      <t>P [kW]</t>
    </r>
  </si>
  <si>
    <t>Differenz zum Mittelwert [kV]</t>
  </si>
  <si>
    <t>Leiter-Leiter-Spannung [kV]</t>
  </si>
  <si>
    <t>Re [V]</t>
  </si>
  <si>
    <t>Im [V]</t>
  </si>
  <si>
    <r>
      <t>X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</si>
  <si>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kA</t>
    </r>
    <r>
      <rPr>
        <sz val="8"/>
        <rFont val="Arial"/>
        <family val="2"/>
      </rPr>
      <t xml:space="preserve"> </t>
    </r>
  </si>
  <si>
    <r>
      <t>R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</si>
  <si>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</t>
    </r>
  </si>
  <si>
    <r>
      <t>R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</t>
    </r>
  </si>
  <si>
    <r>
      <t>X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</si>
  <si>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kB</t>
    </r>
    <r>
      <rPr>
        <sz val="8"/>
        <rFont val="Arial"/>
        <family val="2"/>
      </rPr>
      <t xml:space="preserve"> </t>
    </r>
  </si>
  <si>
    <r>
      <t>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</t>
    </r>
  </si>
  <si>
    <r>
      <t>X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</si>
  <si>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</t>
    </r>
  </si>
  <si>
    <r>
      <t>R</t>
    </r>
    <r>
      <rPr>
        <vertAlign val="subscript"/>
        <sz val="8"/>
        <rFont val="Arial"/>
        <family val="2"/>
      </rPr>
      <t>LtgC</t>
    </r>
    <r>
      <rPr>
        <sz val="8"/>
        <rFont val="Arial"/>
        <family val="2"/>
      </rPr>
      <t xml:space="preserve"> </t>
    </r>
  </si>
  <si>
    <r>
      <t>X</t>
    </r>
    <r>
      <rPr>
        <vertAlign val="subscript"/>
        <sz val="8"/>
        <rFont val="Arial"/>
        <family val="2"/>
      </rPr>
      <t>LtgC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</si>
  <si>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LtgC</t>
    </r>
    <r>
      <rPr>
        <sz val="8"/>
        <rFont val="Arial"/>
        <family val="2"/>
      </rPr>
      <t xml:space="preserve"> </t>
    </r>
  </si>
  <si>
    <r>
      <t>R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</si>
  <si>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</si>
  <si>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Mittelwert</t>
  </si>
  <si>
    <r>
      <t>D</t>
    </r>
    <r>
      <rPr>
        <sz val="8"/>
        <rFont val="Arial"/>
        <family val="2"/>
      </rPr>
      <t>cos</t>
    </r>
    <r>
      <rPr>
        <sz val="8"/>
        <rFont val="Symbol"/>
        <family val="1"/>
      </rPr>
      <t>j</t>
    </r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</si>
  <si>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[kV]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</si>
  <si>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</si>
  <si>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[A]</t>
    </r>
  </si>
  <si>
    <r>
      <t>Leerlaufspannungen U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[kV]</t>
    </r>
  </si>
  <si>
    <r>
      <t>Transformator-Spannungen  U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[kV]</t>
    </r>
  </si>
  <si>
    <r>
      <t>S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>Last</t>
    </r>
  </si>
  <si>
    <r>
      <t>S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>cir</t>
    </r>
  </si>
  <si>
    <r>
      <t>S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>T</t>
    </r>
  </si>
  <si>
    <r>
      <t>I</t>
    </r>
    <r>
      <rPr>
        <vertAlign val="subscript"/>
        <sz val="8"/>
        <rFont val="Arial"/>
        <family val="2"/>
      </rPr>
      <t>qT</t>
    </r>
  </si>
  <si>
    <r>
      <t>I</t>
    </r>
    <r>
      <rPr>
        <vertAlign val="subscript"/>
        <sz val="8"/>
        <rFont val="Arial"/>
        <family val="2"/>
      </rPr>
      <t>qT*</t>
    </r>
  </si>
  <si>
    <r>
      <t>S</t>
    </r>
    <r>
      <rPr>
        <sz val="8"/>
        <rFont val="Arial"/>
        <family val="2"/>
      </rPr>
      <t xml:space="preserve"> [MVA]</t>
    </r>
  </si>
  <si>
    <r>
      <t>S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</t>
    </r>
    <r>
      <rPr>
        <vertAlign val="subscript"/>
        <sz val="8"/>
        <rFont val="Symbol"/>
        <family val="1"/>
      </rPr>
      <t>S</t>
    </r>
  </si>
  <si>
    <r>
      <t>S</t>
    </r>
    <r>
      <rPr>
        <sz val="8"/>
        <rFont val="Arial"/>
        <family val="2"/>
      </rPr>
      <t xml:space="preserve"> / S</t>
    </r>
    <r>
      <rPr>
        <vertAlign val="subscript"/>
        <sz val="8"/>
        <rFont val="Symbol"/>
        <family val="1"/>
      </rPr>
      <t>S</t>
    </r>
  </si>
  <si>
    <r>
      <t>Z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</si>
  <si>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 xml:space="preserve"> 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</t>
    </r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</si>
  <si>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zur Mittelstellung</t>
    </r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</si>
  <si>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[kV]</t>
    </r>
  </si>
  <si>
    <r>
      <t>Leitungsanteil (U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>)</t>
    </r>
  </si>
  <si>
    <r>
      <t>Leitungsanteil (U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>)</t>
    </r>
  </si>
  <si>
    <r>
      <t>Leitungsanteil (U</t>
    </r>
    <r>
      <rPr>
        <vertAlign val="subscript"/>
        <sz val="8"/>
        <rFont val="Arial"/>
        <family val="2"/>
      </rPr>
      <t>LtgC</t>
    </r>
    <r>
      <rPr>
        <sz val="8"/>
        <rFont val="Arial"/>
        <family val="2"/>
      </rPr>
      <t>, I</t>
    </r>
    <r>
      <rPr>
        <vertAlign val="subscript"/>
        <sz val="8"/>
        <rFont val="Arial"/>
        <family val="2"/>
      </rPr>
      <t>TC</t>
    </r>
    <r>
      <rPr>
        <sz val="8"/>
        <rFont val="Arial"/>
        <family val="2"/>
      </rPr>
      <t>)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</si>
  <si>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Tp</t>
    </r>
    <r>
      <rPr>
        <sz val="8"/>
        <rFont val="Arial"/>
        <family val="2"/>
      </rPr>
      <t xml:space="preserve"> [A]</t>
    </r>
  </si>
  <si>
    <r>
      <t>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Tq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</si>
  <si>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 xml:space="preserve">Tq </t>
    </r>
    <r>
      <rPr>
        <sz val="8"/>
        <rFont val="Arial"/>
        <family val="2"/>
      </rPr>
      <t>/ I</t>
    </r>
    <r>
      <rPr>
        <vertAlign val="subscript"/>
        <sz val="8"/>
        <rFont val="Arial"/>
        <family val="2"/>
      </rPr>
      <t>Tp</t>
    </r>
  </si>
  <si>
    <r>
      <t>D</t>
    </r>
    <r>
      <rPr>
        <sz val="8"/>
        <rFont val="Arial"/>
        <family val="2"/>
      </rPr>
      <t xml:space="preserve"> [%]</t>
    </r>
  </si>
  <si>
    <r>
      <t>P</t>
    </r>
    <r>
      <rPr>
        <vertAlign val="subscript"/>
        <sz val="8"/>
        <rFont val="Arial"/>
        <family val="2"/>
      </rPr>
      <t>VA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[kW]</t>
    </r>
  </si>
  <si>
    <r>
      <t>P</t>
    </r>
    <r>
      <rPr>
        <vertAlign val="subscript"/>
        <sz val="8"/>
        <rFont val="Arial"/>
        <family val="2"/>
      </rPr>
      <t>VC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[kW]</t>
    </r>
  </si>
  <si>
    <r>
      <t>P</t>
    </r>
    <r>
      <rPr>
        <vertAlign val="subscript"/>
        <sz val="8"/>
        <rFont val="Arial"/>
        <family val="2"/>
      </rPr>
      <t>VB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[kW]</t>
    </r>
  </si>
  <si>
    <r>
      <t>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[V]</t>
    </r>
  </si>
  <si>
    <t>U [kV]</t>
  </si>
  <si>
    <t>Re [kV]</t>
  </si>
  <si>
    <t>Im [kV]</t>
  </si>
  <si>
    <t>Spannungsfall</t>
  </si>
  <si>
    <t>[%]</t>
  </si>
  <si>
    <t>Verfügbare Scheinleistung</t>
  </si>
  <si>
    <r>
      <t>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[kV]</t>
    </r>
  </si>
  <si>
    <t>Überlagerung der Ströme und Leistungswerte im Transformator A</t>
  </si>
  <si>
    <t>Überlagerung der Ströme und Leistungswerte im Transformator C</t>
  </si>
  <si>
    <t>Überlagerung der Ströme und Leistungswerte im Transformator B</t>
  </si>
  <si>
    <t>Parallelbetrieb von Transformatoren</t>
  </si>
  <si>
    <t>Transformatoren-Belastung [MVA]</t>
  </si>
  <si>
    <t>Ströme</t>
  </si>
  <si>
    <r>
      <t>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</si>
  <si>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C0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TC</t>
    </r>
    <r>
      <rPr>
        <sz val="8"/>
        <rFont val="Arial"/>
        <family val="2"/>
      </rPr>
      <t xml:space="preserve"> [V]</t>
    </r>
  </si>
  <si>
    <r>
      <t>D</t>
    </r>
    <r>
      <rPr>
        <sz val="8"/>
        <rFont val="Arial"/>
        <family val="2"/>
      </rPr>
      <t xml:space="preserve"> Stufe</t>
    </r>
  </si>
  <si>
    <r>
      <t>Summe = I</t>
    </r>
    <r>
      <rPr>
        <vertAlign val="subscript"/>
        <sz val="8"/>
        <rFont val="Arial"/>
        <family val="2"/>
      </rPr>
      <t>qLast</t>
    </r>
  </si>
  <si>
    <r>
      <t>Leiter-Leiter-Spannung</t>
    </r>
    <r>
      <rPr>
        <sz val="8"/>
        <rFont val="Arial"/>
        <family val="2"/>
      </rPr>
      <t xml:space="preserve"> 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</si>
  <si>
    <r>
      <t>I</t>
    </r>
    <r>
      <rPr>
        <vertAlign val="subscript"/>
        <sz val="8"/>
        <rFont val="Arial"/>
        <family val="2"/>
      </rPr>
      <t xml:space="preserve">q </t>
    </r>
    <r>
      <rPr>
        <sz val="8"/>
        <rFont val="Arial"/>
        <family val="2"/>
      </rPr>
      <t>/ I</t>
    </r>
    <r>
      <rPr>
        <vertAlign val="subscript"/>
        <sz val="8"/>
        <rFont val="Arial"/>
        <family val="2"/>
      </rPr>
      <t>p</t>
    </r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</si>
  <si>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ABC0</t>
    </r>
    <r>
      <rPr>
        <sz val="8"/>
        <rFont val="Arial"/>
        <family val="2"/>
      </rPr>
      <t xml:space="preserve"> [kV]</t>
    </r>
  </si>
  <si>
    <r>
      <t>D</t>
    </r>
    <r>
      <rPr>
        <sz val="8"/>
        <rFont val="Arial"/>
        <family val="2"/>
      </rPr>
      <t>(I</t>
    </r>
    <r>
      <rPr>
        <vertAlign val="subscript"/>
        <sz val="8"/>
        <rFont val="Arial"/>
        <family val="2"/>
      </rPr>
      <t xml:space="preserve">q </t>
    </r>
    <r>
      <rPr>
        <sz val="8"/>
        <rFont val="Arial"/>
        <family val="2"/>
      </rPr>
      <t>/ I</t>
    </r>
    <r>
      <rPr>
        <vertAlign val="subscript"/>
        <sz val="8"/>
        <rFont val="Arial"/>
        <family val="2"/>
      </rPr>
      <t>p</t>
    </r>
    <r>
      <rPr>
        <sz val="8"/>
        <rFont val="Arial"/>
        <family val="2"/>
      </rPr>
      <t>)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[%]</t>
    </r>
  </si>
  <si>
    <r>
      <t xml:space="preserve">Leerlaufspannungen </t>
    </r>
    <r>
      <rPr>
        <i/>
        <sz val="8"/>
        <rFont val="Arial"/>
        <family val="2"/>
      </rPr>
      <t>(jeweils Strang 1)</t>
    </r>
  </si>
  <si>
    <t>Q [MVar]</t>
  </si>
  <si>
    <t>Stufenspannung [V]</t>
  </si>
  <si>
    <r>
      <t>Z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W]</t>
    </r>
  </si>
  <si>
    <r>
      <t>R [</t>
    </r>
    <r>
      <rPr>
        <sz val="8"/>
        <rFont val="Symbol"/>
        <family val="1"/>
      </rPr>
      <t>W]</t>
    </r>
  </si>
  <si>
    <r>
      <t>X [</t>
    </r>
    <r>
      <rPr>
        <sz val="8"/>
        <rFont val="Symbol"/>
        <family val="1"/>
      </rPr>
      <t>W]</t>
    </r>
  </si>
  <si>
    <r>
      <t>X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</t>
    </r>
  </si>
  <si>
    <r>
      <t>D</t>
    </r>
    <r>
      <rPr>
        <sz val="8"/>
        <rFont val="Arial"/>
        <family val="2"/>
      </rPr>
      <t>R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[%]</t>
    </r>
  </si>
  <si>
    <r>
      <t>D</t>
    </r>
    <r>
      <rPr>
        <sz val="8"/>
        <rFont val="Arial"/>
        <family val="2"/>
      </rPr>
      <t>X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[%]</t>
    </r>
  </si>
  <si>
    <r>
      <t>D</t>
    </r>
    <r>
      <rPr>
        <sz val="8"/>
        <rFont val="Arial"/>
        <family val="2"/>
      </rPr>
      <t>R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[%]</t>
    </r>
  </si>
  <si>
    <r>
      <t>D</t>
    </r>
    <r>
      <rPr>
        <sz val="8"/>
        <rFont val="Arial"/>
        <family val="2"/>
      </rPr>
      <t>X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[%]</t>
    </r>
  </si>
  <si>
    <r>
      <t>D</t>
    </r>
    <r>
      <rPr>
        <sz val="8"/>
        <rFont val="Arial"/>
        <family val="2"/>
      </rPr>
      <t>R</t>
    </r>
    <r>
      <rPr>
        <vertAlign val="subscript"/>
        <sz val="8"/>
        <rFont val="Arial"/>
        <family val="2"/>
      </rPr>
      <t xml:space="preserve">C </t>
    </r>
    <r>
      <rPr>
        <sz val="8"/>
        <rFont val="Arial"/>
        <family val="2"/>
      </rPr>
      <t>[%]</t>
    </r>
  </si>
  <si>
    <r>
      <t>Prozentuale Änderung von Z</t>
    </r>
    <r>
      <rPr>
        <i/>
        <vertAlign val="subscript"/>
        <sz val="8"/>
        <rFont val="Arial"/>
        <family val="2"/>
      </rPr>
      <t>kA</t>
    </r>
  </si>
  <si>
    <r>
      <t>R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</si>
  <si>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r>
      <t>Prozentuale Änderung von Z</t>
    </r>
    <r>
      <rPr>
        <i/>
        <vertAlign val="subscript"/>
        <sz val="8"/>
        <rFont val="Arial"/>
        <family val="2"/>
      </rPr>
      <t>kB</t>
    </r>
  </si>
  <si>
    <r>
      <t xml:space="preserve">Spannungsfall </t>
    </r>
    <r>
      <rPr>
        <sz val="8"/>
        <rFont val="Symbol"/>
        <family val="1"/>
      </rP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[% von 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>]</t>
    </r>
  </si>
  <si>
    <r>
      <t xml:space="preserve">Spannungsfall </t>
    </r>
    <r>
      <rPr>
        <sz val="8"/>
        <rFont val="Symbol"/>
        <family val="1"/>
      </rP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[% von U</t>
    </r>
    <r>
      <rPr>
        <vertAlign val="subscript"/>
        <sz val="8"/>
        <rFont val="Arial"/>
        <family val="2"/>
      </rPr>
      <t>C0</t>
    </r>
    <r>
      <rPr>
        <sz val="8"/>
        <rFont val="Arial"/>
        <family val="2"/>
      </rPr>
      <t>]</t>
    </r>
  </si>
  <si>
    <r>
      <t xml:space="preserve">Spannungsfall </t>
    </r>
    <r>
      <rPr>
        <sz val="8"/>
        <rFont val="Symbol"/>
        <family val="1"/>
      </rP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[% von 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>]</t>
    </r>
  </si>
  <si>
    <t>Vorzeichen negativ</t>
  </si>
  <si>
    <r>
      <t>für X</t>
    </r>
    <r>
      <rPr>
        <i/>
        <vertAlign val="subscript"/>
        <sz val="8"/>
        <rFont val="Arial"/>
        <family val="2"/>
      </rPr>
      <t xml:space="preserve">LtgA </t>
    </r>
    <r>
      <rPr>
        <i/>
        <sz val="8"/>
        <rFont val="Arial"/>
        <family val="2"/>
      </rPr>
      <t>kapazitiv</t>
    </r>
  </si>
  <si>
    <r>
      <t>für X</t>
    </r>
    <r>
      <rPr>
        <i/>
        <vertAlign val="subscript"/>
        <sz val="8"/>
        <rFont val="Arial"/>
        <family val="2"/>
      </rPr>
      <t xml:space="preserve">LtgC </t>
    </r>
    <r>
      <rPr>
        <i/>
        <sz val="8"/>
        <rFont val="Arial"/>
        <family val="2"/>
      </rPr>
      <t>kapazitiv</t>
    </r>
  </si>
  <si>
    <r>
      <t>für X</t>
    </r>
    <r>
      <rPr>
        <i/>
        <vertAlign val="subscript"/>
        <sz val="8"/>
        <rFont val="Arial"/>
        <family val="2"/>
      </rPr>
      <t xml:space="preserve">LtgB </t>
    </r>
    <r>
      <rPr>
        <i/>
        <sz val="8"/>
        <rFont val="Arial"/>
        <family val="2"/>
      </rPr>
      <t>kapazitiv</t>
    </r>
  </si>
  <si>
    <r>
      <t>Belastungsgrad S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>/S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</t>
    </r>
  </si>
  <si>
    <r>
      <t>Belastungsgrad S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/S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</t>
    </r>
  </si>
  <si>
    <r>
      <t>Belastungsgrad S</t>
    </r>
    <r>
      <rPr>
        <vertAlign val="subscript"/>
        <sz val="8"/>
        <rFont val="Arial"/>
        <family val="2"/>
      </rPr>
      <t xml:space="preserve">C </t>
    </r>
    <r>
      <rPr>
        <sz val="8"/>
        <rFont val="Arial"/>
        <family val="2"/>
      </rPr>
      <t>/S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</t>
    </r>
  </si>
  <si>
    <r>
      <t>D</t>
    </r>
    <r>
      <rPr>
        <sz val="8"/>
        <rFont val="Arial"/>
        <family val="2"/>
      </rPr>
      <t>Q [kVar]</t>
    </r>
  </si>
  <si>
    <r>
      <t>U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= (U</t>
    </r>
    <r>
      <rPr>
        <vertAlign val="subscript"/>
        <sz val="8"/>
        <rFont val="Arial"/>
        <family val="2"/>
      </rPr>
      <t>A0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 Z</t>
    </r>
    <r>
      <rPr>
        <vertAlign val="subscript"/>
        <sz val="8"/>
        <rFont val="Arial"/>
        <family val="2"/>
      </rPr>
      <t>kA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</si>
  <si>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= (U</t>
    </r>
    <r>
      <rPr>
        <vertAlign val="subscript"/>
        <sz val="8"/>
        <rFont val="Arial"/>
        <family val="2"/>
      </rPr>
      <t>B0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 xml:space="preserve">TB </t>
    </r>
    <r>
      <rPr>
        <sz val="8"/>
        <rFont val="Arial"/>
        <family val="2"/>
      </rPr>
      <t>Z</t>
    </r>
    <r>
      <rPr>
        <vertAlign val="subscript"/>
        <sz val="8"/>
        <rFont val="Arial"/>
        <family val="2"/>
      </rPr>
      <t>kB</t>
    </r>
  </si>
  <si>
    <r>
      <t>U</t>
    </r>
    <r>
      <rPr>
        <vertAlign val="subscript"/>
        <sz val="8"/>
        <rFont val="Arial"/>
        <family val="2"/>
      </rPr>
      <t>TC</t>
    </r>
    <r>
      <rPr>
        <sz val="8"/>
        <rFont val="Arial"/>
        <family val="2"/>
      </rPr>
      <t xml:space="preserve"> = (U</t>
    </r>
    <r>
      <rPr>
        <vertAlign val="subscript"/>
        <sz val="8"/>
        <rFont val="Arial"/>
        <family val="2"/>
      </rPr>
      <t>C0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TC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kC</t>
    </r>
  </si>
  <si>
    <t xml:space="preserve">Summe Zustand 2 - Summe Zustand 1 </t>
  </si>
  <si>
    <t>Werte an den Transformatoren</t>
  </si>
  <si>
    <t>Leistungen</t>
  </si>
  <si>
    <t>ein</t>
  </si>
  <si>
    <t>0 = abgeschaltet; 1 = zugeschaltet</t>
  </si>
  <si>
    <t>Verbindungsleitung B</t>
  </si>
  <si>
    <t>Belastungen</t>
  </si>
  <si>
    <t>Transformator-Anschaltung</t>
  </si>
  <si>
    <t>MVA</t>
  </si>
  <si>
    <t>Daten der Transformatoren</t>
  </si>
  <si>
    <r>
      <t>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(pro Strang)</t>
    </r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</si>
  <si>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 (pro Strang)</t>
    </r>
  </si>
  <si>
    <t xml:space="preserve"> A</t>
  </si>
  <si>
    <t xml:space="preserve"> B</t>
  </si>
  <si>
    <t xml:space="preserve"> C</t>
  </si>
  <si>
    <r>
      <t>S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>r</t>
    </r>
  </si>
  <si>
    <r>
      <t>D</t>
    </r>
    <r>
      <rPr>
        <sz val="8"/>
        <rFont val="Arial"/>
        <family val="2"/>
      </rPr>
      <t>S [MVA]</t>
    </r>
  </si>
  <si>
    <r>
      <t>D</t>
    </r>
    <r>
      <rPr>
        <sz val="8"/>
        <rFont val="Arial"/>
        <family val="2"/>
      </rPr>
      <t>P [MW]</t>
    </r>
  </si>
  <si>
    <r>
      <t>D</t>
    </r>
    <r>
      <rPr>
        <sz val="8"/>
        <rFont val="Arial"/>
        <family val="2"/>
      </rPr>
      <t>Q [MVar]</t>
    </r>
  </si>
  <si>
    <r>
      <t>I</t>
    </r>
    <r>
      <rPr>
        <vertAlign val="subscript"/>
        <sz val="8"/>
        <rFont val="Arial"/>
        <family val="2"/>
      </rPr>
      <t xml:space="preserve">T </t>
    </r>
    <r>
      <rPr>
        <sz val="8"/>
        <rFont val="Arial"/>
        <family val="2"/>
      </rPr>
      <t>[A]</t>
    </r>
  </si>
  <si>
    <r>
      <t>I</t>
    </r>
    <r>
      <rPr>
        <vertAlign val="subscript"/>
        <sz val="8"/>
        <rFont val="Arial"/>
        <family val="2"/>
      </rPr>
      <t xml:space="preserve">Tq </t>
    </r>
    <r>
      <rPr>
        <sz val="8"/>
        <rFont val="Arial"/>
        <family val="2"/>
      </rPr>
      <t>[A]</t>
    </r>
  </si>
  <si>
    <r>
      <t xml:space="preserve">Impedanz der Last pro Strang </t>
    </r>
    <r>
      <rPr>
        <i/>
        <sz val="8"/>
        <rFont val="Arial"/>
        <family val="2"/>
      </rPr>
      <t>(spannungsunabhängig)</t>
    </r>
  </si>
  <si>
    <t>Bemessungsspannung Ur [kV]</t>
  </si>
  <si>
    <r>
      <t>Prozentuale Änderung von Z</t>
    </r>
    <r>
      <rPr>
        <i/>
        <vertAlign val="subscript"/>
        <sz val="8"/>
        <rFont val="Arial"/>
        <family val="2"/>
      </rPr>
      <t>kC</t>
    </r>
  </si>
  <si>
    <r>
      <t>Prozentuale Änderung von Z</t>
    </r>
    <r>
      <rPr>
        <i/>
        <vertAlign val="subscript"/>
        <sz val="8"/>
        <rFont val="Arial"/>
        <family val="2"/>
      </rPr>
      <t>LtgC</t>
    </r>
  </si>
  <si>
    <r>
      <t>Prozentuale Änderung von Z</t>
    </r>
    <r>
      <rPr>
        <i/>
        <vertAlign val="subscript"/>
        <sz val="8"/>
        <rFont val="Arial"/>
        <family val="2"/>
      </rPr>
      <t>LtgB</t>
    </r>
  </si>
  <si>
    <r>
      <t>Prozentuale Änderung von Z</t>
    </r>
    <r>
      <rPr>
        <i/>
        <vertAlign val="subscript"/>
        <sz val="8"/>
        <rFont val="Arial"/>
        <family val="2"/>
      </rPr>
      <t>LtgA</t>
    </r>
  </si>
  <si>
    <t>Mittelstellung</t>
  </si>
  <si>
    <t>Ausgangszustand</t>
  </si>
  <si>
    <t xml:space="preserve">Summe </t>
  </si>
  <si>
    <t>Summe</t>
  </si>
  <si>
    <t xml:space="preserve">Stufendifferenz x </t>
  </si>
  <si>
    <t>Verbindungsleitung C</t>
  </si>
  <si>
    <r>
      <t xml:space="preserve">Spannung an der Last ; </t>
    </r>
    <r>
      <rPr>
        <i/>
        <sz val="8"/>
        <rFont val="Arial"/>
        <family val="2"/>
      </rPr>
      <t xml:space="preserve"> Leiter-Sternpunkt-Spannungen</t>
    </r>
  </si>
  <si>
    <t>bei Ausgangszustand Werte von unten in grüne Felder</t>
  </si>
  <si>
    <t>der Zeilen 35, 36, 37 übertragen. "Inhalte einfügen; Werte"</t>
  </si>
  <si>
    <t xml:space="preserve">bei Ausgangszustand Werte von Spalte C, D, E in grüne </t>
  </si>
  <si>
    <t xml:space="preserve">Verbindungsleitung A </t>
  </si>
  <si>
    <t>Impedanzen (pro Strang) von Transformator und der Verbindungsleitung zum Summierpunkt</t>
  </si>
  <si>
    <t xml:space="preserve">Transformator A </t>
  </si>
  <si>
    <t xml:space="preserve">Transformator B </t>
  </si>
  <si>
    <t xml:space="preserve">Transformator C </t>
  </si>
  <si>
    <r>
      <t>R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</t>
    </r>
  </si>
  <si>
    <r>
      <t>X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</si>
  <si>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kC</t>
    </r>
    <r>
      <rPr>
        <sz val="8"/>
        <rFont val="Arial"/>
        <family val="2"/>
      </rPr>
      <t xml:space="preserve"> </t>
    </r>
  </si>
  <si>
    <r>
      <t>D</t>
    </r>
    <r>
      <rPr>
        <sz val="8"/>
        <rFont val="Arial"/>
        <family val="2"/>
      </rPr>
      <t>X</t>
    </r>
    <r>
      <rPr>
        <vertAlign val="subscript"/>
        <sz val="8"/>
        <rFont val="Arial"/>
        <family val="2"/>
      </rPr>
      <t xml:space="preserve">C </t>
    </r>
    <r>
      <rPr>
        <sz val="8"/>
        <rFont val="Arial"/>
        <family val="2"/>
      </rPr>
      <t>[%]</t>
    </r>
  </si>
  <si>
    <t>Spannung an den Verbindungsleitungen vom Transformator bis Sammelschiene (Summierpunkt)</t>
  </si>
  <si>
    <t>Änderungen der Betriebswerte bei Änderung der Transformatoranzahl und/oder Stufenstellung(en)</t>
  </si>
  <si>
    <t>zugeschaltete Transformatoren</t>
  </si>
  <si>
    <r>
      <t>S</t>
    </r>
    <r>
      <rPr>
        <vertAlign val="subscript"/>
        <sz val="8"/>
        <rFont val="Arial"/>
        <family val="2"/>
      </rPr>
      <t>r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[MVA]</t>
    </r>
  </si>
  <si>
    <t>Winkel [°]</t>
  </si>
  <si>
    <t xml:space="preserve"> Winkel [°]</t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</si>
  <si>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[%]</t>
    </r>
  </si>
  <si>
    <t>verfügbare Leistung [MVA]</t>
  </si>
  <si>
    <t>Stufenspannung</t>
  </si>
  <si>
    <t>Umrechnung</t>
  </si>
  <si>
    <t>Felder der Zeilen 25...29 übertragen. "Inhalte einfügen; Werte"</t>
  </si>
  <si>
    <t>(Leiter-Sternpunkt)</t>
  </si>
  <si>
    <t>Leerlaufspannungen</t>
  </si>
  <si>
    <r>
      <t>U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[kV]</t>
    </r>
  </si>
  <si>
    <t xml:space="preserve"> Trafos zugeschaltet:</t>
  </si>
  <si>
    <t xml:space="preserve">Stufendifferenz </t>
  </si>
  <si>
    <r>
      <t>Richtwert (grob) für 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</si>
  <si>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 xml:space="preserve">Werte an den Transformatoren </t>
    </r>
    <r>
      <rPr>
        <i/>
        <sz val="7"/>
        <color indexed="10"/>
        <rFont val="Arial"/>
        <family val="2"/>
      </rPr>
      <t>bei unveränderter Last (Felder C12, C13 )</t>
    </r>
  </si>
  <si>
    <r>
      <t>I</t>
    </r>
    <r>
      <rPr>
        <vertAlign val="subscript"/>
        <sz val="8"/>
        <rFont val="Arial"/>
        <family val="2"/>
      </rPr>
      <t>pT</t>
    </r>
    <r>
      <rPr>
        <sz val="8"/>
        <rFont val="Arial"/>
        <family val="2"/>
      </rPr>
      <t xml:space="preserve"> /I</t>
    </r>
    <r>
      <rPr>
        <vertAlign val="subscript"/>
        <sz val="8"/>
        <rFont val="Arial"/>
        <family val="2"/>
      </rPr>
      <t>qT</t>
    </r>
  </si>
  <si>
    <t>Schaltung siehe Seite 5;</t>
  </si>
  <si>
    <r>
      <t>Impedanz zur SS [</t>
    </r>
    <r>
      <rPr>
        <sz val="7"/>
        <rFont val="Symbol"/>
        <family val="1"/>
      </rPr>
      <t>W</t>
    </r>
    <r>
      <rPr>
        <sz val="7"/>
        <rFont val="Arial"/>
        <family val="2"/>
      </rPr>
      <t>]</t>
    </r>
  </si>
  <si>
    <t>Stufendifferenz zur</t>
  </si>
  <si>
    <t xml:space="preserve"> Vorzeichen: + höher; - tiefer</t>
  </si>
  <si>
    <r>
      <t>Stufenspann. U</t>
    </r>
    <r>
      <rPr>
        <vertAlign val="subscript"/>
        <sz val="8"/>
        <rFont val="Arial"/>
        <family val="2"/>
      </rPr>
      <t>st</t>
    </r>
    <r>
      <rPr>
        <sz val="8"/>
        <rFont val="Arial"/>
        <family val="2"/>
      </rPr>
      <t xml:space="preserve"> [%]</t>
    </r>
  </si>
  <si>
    <r>
      <t>Stern U</t>
    </r>
    <r>
      <rPr>
        <vertAlign val="subscript"/>
        <sz val="8"/>
        <rFont val="Arial"/>
        <family val="2"/>
      </rPr>
      <t>st</t>
    </r>
    <r>
      <rPr>
        <sz val="8"/>
        <rFont val="Arial"/>
        <family val="2"/>
      </rPr>
      <t xml:space="preserve"> [V]</t>
    </r>
  </si>
  <si>
    <r>
      <t>Dreieck U</t>
    </r>
    <r>
      <rPr>
        <vertAlign val="subscript"/>
        <sz val="8"/>
        <rFont val="Arial"/>
        <family val="2"/>
      </rPr>
      <t>st</t>
    </r>
    <r>
      <rPr>
        <sz val="8"/>
        <rFont val="Arial"/>
        <family val="2"/>
      </rPr>
      <t xml:space="preserve"> [V]</t>
    </r>
  </si>
  <si>
    <t>aktueller Zustand</t>
  </si>
  <si>
    <r>
      <t>U</t>
    </r>
    <r>
      <rPr>
        <vertAlign val="subscript"/>
        <sz val="8"/>
        <rFont val="Arial"/>
        <family val="2"/>
      </rPr>
      <t>TA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[V]</t>
    </r>
  </si>
  <si>
    <t>Leiter-Leiter</t>
  </si>
  <si>
    <r>
      <t>U</t>
    </r>
    <r>
      <rPr>
        <vertAlign val="subscript"/>
        <sz val="8"/>
        <rFont val="Arial"/>
        <family val="2"/>
      </rPr>
      <t>TB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TC</t>
    </r>
    <r>
      <rPr>
        <sz val="8"/>
        <rFont val="Arial"/>
        <family val="2"/>
      </rPr>
      <t xml:space="preserve"> [V]</t>
    </r>
  </si>
  <si>
    <t>Differenzen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</si>
</sst>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00"/>
    <numFmt numFmtId="184" formatCode="0.0000"/>
    <numFmt numFmtId="185" formatCode="0.0000000"/>
    <numFmt numFmtId="186" formatCode="0.00000000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  <numFmt numFmtId="190" formatCode="0.0000E+00"/>
    <numFmt numFmtId="191" formatCode="0.000E+00"/>
    <numFmt numFmtId="192" formatCode="0.0E+00"/>
    <numFmt numFmtId="193" formatCode="0E+00"/>
  </numFmts>
  <fonts count="23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vertAlign val="subscript"/>
      <sz val="8"/>
      <name val="Symbol"/>
      <family val="1"/>
    </font>
    <font>
      <b/>
      <i/>
      <vertAlign val="subscript"/>
      <sz val="8"/>
      <name val="Arial"/>
      <family val="2"/>
    </font>
    <font>
      <i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b/>
      <i/>
      <sz val="8"/>
      <name val="Symbol"/>
      <family val="1"/>
    </font>
    <font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i/>
      <sz val="8"/>
      <color indexed="12"/>
      <name val="Arial"/>
      <family val="2"/>
    </font>
    <font>
      <i/>
      <sz val="7"/>
      <color indexed="12"/>
      <name val="Arial"/>
      <family val="2"/>
    </font>
    <font>
      <b/>
      <i/>
      <sz val="7"/>
      <color indexed="10"/>
      <name val="Arial"/>
      <family val="2"/>
    </font>
    <font>
      <i/>
      <sz val="7"/>
      <color indexed="10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i/>
      <sz val="8"/>
      <color indexed="12"/>
      <name val="Arial"/>
      <family val="2"/>
    </font>
    <font>
      <sz val="7"/>
      <name val="Symbol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hair"/>
      <top style="dashDot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dashDot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ashDot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2" fontId="1" fillId="4" borderId="0" xfId="0" applyNumberFormat="1" applyFont="1" applyFill="1" applyAlignment="1" applyProtection="1">
      <alignment horizontal="center" vertical="center"/>
      <protection/>
    </xf>
    <xf numFmtId="180" fontId="4" fillId="4" borderId="0" xfId="0" applyNumberFormat="1" applyFont="1" applyFill="1" applyAlignment="1" applyProtection="1">
      <alignment horizontal="right" vertical="center"/>
      <protection/>
    </xf>
    <xf numFmtId="0" fontId="1" fillId="4" borderId="0" xfId="0" applyFont="1" applyFill="1" applyAlignment="1" applyProtection="1">
      <alignment horizontal="center" vertical="center"/>
      <protection/>
    </xf>
    <xf numFmtId="0" fontId="3" fillId="4" borderId="0" xfId="0" applyFont="1" applyFill="1" applyAlignment="1" applyProtection="1">
      <alignment horizontal="center" vertical="center"/>
      <protection/>
    </xf>
    <xf numFmtId="181" fontId="1" fillId="4" borderId="0" xfId="0" applyNumberFormat="1" applyFont="1" applyFill="1" applyAlignment="1" applyProtection="1">
      <alignment horizontal="center" vertical="center"/>
      <protection/>
    </xf>
    <xf numFmtId="180" fontId="1" fillId="5" borderId="0" xfId="0" applyNumberFormat="1" applyFont="1" applyFill="1" applyAlignment="1" applyProtection="1">
      <alignment horizontal="center" vertical="center"/>
      <protection/>
    </xf>
    <xf numFmtId="2" fontId="4" fillId="4" borderId="0" xfId="0" applyNumberFormat="1" applyFont="1" applyFill="1" applyAlignment="1" applyProtection="1">
      <alignment horizontal="center" vertical="center"/>
      <protection/>
    </xf>
    <xf numFmtId="181" fontId="4" fillId="4" borderId="0" xfId="0" applyNumberFormat="1" applyFont="1" applyFill="1" applyAlignment="1" applyProtection="1">
      <alignment horizontal="center" vertical="center"/>
      <protection/>
    </xf>
    <xf numFmtId="1" fontId="3" fillId="6" borderId="0" xfId="0" applyNumberFormat="1" applyFont="1" applyFill="1" applyAlignment="1" applyProtection="1">
      <alignment horizontal="center" vertical="center"/>
      <protection/>
    </xf>
    <xf numFmtId="0" fontId="1" fillId="7" borderId="0" xfId="0" applyFont="1" applyFill="1" applyAlignment="1" applyProtection="1">
      <alignment vertical="center"/>
      <protection/>
    </xf>
    <xf numFmtId="0" fontId="2" fillId="7" borderId="0" xfId="0" applyFont="1" applyFill="1" applyAlignment="1" applyProtection="1">
      <alignment horizontal="right" vertical="center"/>
      <protection/>
    </xf>
    <xf numFmtId="0" fontId="1" fillId="7" borderId="0" xfId="0" applyFont="1" applyFill="1" applyAlignment="1" applyProtection="1">
      <alignment horizontal="center" vertical="center"/>
      <protection/>
    </xf>
    <xf numFmtId="0" fontId="5" fillId="7" borderId="0" xfId="0" applyFont="1" applyFill="1" applyAlignment="1" applyProtection="1">
      <alignment horizontal="center" vertical="center"/>
      <protection/>
    </xf>
    <xf numFmtId="180" fontId="3" fillId="7" borderId="0" xfId="0" applyNumberFormat="1" applyFont="1" applyFill="1" applyAlignment="1" applyProtection="1">
      <alignment horizontal="right" vertical="center"/>
      <protection locked="0"/>
    </xf>
    <xf numFmtId="181" fontId="1" fillId="7" borderId="0" xfId="0" applyNumberFormat="1" applyFont="1" applyFill="1" applyAlignment="1" applyProtection="1">
      <alignment horizontal="center" vertical="center"/>
      <protection/>
    </xf>
    <xf numFmtId="2" fontId="1" fillId="7" borderId="0" xfId="0" applyNumberFormat="1" applyFont="1" applyFill="1" applyBorder="1" applyAlignment="1" applyProtection="1">
      <alignment horizontal="center" vertical="center"/>
      <protection/>
    </xf>
    <xf numFmtId="2" fontId="1" fillId="7" borderId="0" xfId="0" applyNumberFormat="1" applyFont="1" applyFill="1" applyAlignment="1" applyProtection="1">
      <alignment horizontal="center" vertical="center"/>
      <protection/>
    </xf>
    <xf numFmtId="1" fontId="3" fillId="7" borderId="0" xfId="0" applyNumberFormat="1" applyFont="1" applyFill="1" applyAlignment="1" applyProtection="1">
      <alignment horizontal="right" vertical="center"/>
      <protection/>
    </xf>
    <xf numFmtId="2" fontId="3" fillId="7" borderId="0" xfId="0" applyNumberFormat="1" applyFont="1" applyFill="1" applyAlignment="1" applyProtection="1">
      <alignment horizontal="right" vertical="center"/>
      <protection/>
    </xf>
    <xf numFmtId="180" fontId="1" fillId="7" borderId="0" xfId="0" applyNumberFormat="1" applyFont="1" applyFill="1" applyAlignment="1" applyProtection="1">
      <alignment horizontal="center" vertical="center"/>
      <protection/>
    </xf>
    <xf numFmtId="184" fontId="1" fillId="7" borderId="0" xfId="0" applyNumberFormat="1" applyFont="1" applyFill="1" applyAlignment="1" applyProtection="1">
      <alignment horizontal="center" vertical="center"/>
      <protection/>
    </xf>
    <xf numFmtId="0" fontId="2" fillId="7" borderId="0" xfId="0" applyFont="1" applyFill="1" applyAlignment="1" applyProtection="1">
      <alignment vertical="center"/>
      <protection/>
    </xf>
    <xf numFmtId="180" fontId="1" fillId="7" borderId="0" xfId="0" applyNumberFormat="1" applyFont="1" applyFill="1" applyAlignment="1" applyProtection="1">
      <alignment vertical="center"/>
      <protection/>
    </xf>
    <xf numFmtId="0" fontId="3" fillId="7" borderId="0" xfId="0" applyFont="1" applyFill="1" applyAlignment="1" applyProtection="1">
      <alignment horizontal="right" vertical="center"/>
      <protection/>
    </xf>
    <xf numFmtId="1" fontId="1" fillId="7" borderId="0" xfId="0" applyNumberFormat="1" applyFont="1" applyFill="1" applyAlignment="1" applyProtection="1">
      <alignment horizontal="center" vertical="center"/>
      <protection/>
    </xf>
    <xf numFmtId="0" fontId="2" fillId="7" borderId="0" xfId="0" applyFont="1" applyFill="1" applyAlignment="1" applyProtection="1">
      <alignment horizontal="left" vertical="center"/>
      <protection/>
    </xf>
    <xf numFmtId="0" fontId="1" fillId="7" borderId="0" xfId="0" applyFont="1" applyFill="1" applyAlignment="1" applyProtection="1">
      <alignment horizontal="right" vertical="center"/>
      <protection/>
    </xf>
    <xf numFmtId="180" fontId="1" fillId="7" borderId="0" xfId="0" applyNumberFormat="1" applyFont="1" applyFill="1" applyAlignment="1" applyProtection="1">
      <alignment horizontal="right" vertical="center"/>
      <protection/>
    </xf>
    <xf numFmtId="0" fontId="3" fillId="7" borderId="0" xfId="0" applyFont="1" applyFill="1" applyAlignment="1" applyProtection="1">
      <alignment horizontal="center" vertical="center"/>
      <protection/>
    </xf>
    <xf numFmtId="2" fontId="1" fillId="7" borderId="0" xfId="0" applyNumberFormat="1" applyFont="1" applyFill="1" applyAlignment="1" applyProtection="1">
      <alignment horizontal="right" vertical="center"/>
      <protection/>
    </xf>
    <xf numFmtId="181" fontId="1" fillId="7" borderId="0" xfId="0" applyNumberFormat="1" applyFont="1" applyFill="1" applyAlignment="1" applyProtection="1">
      <alignment horizontal="right" vertical="center"/>
      <protection/>
    </xf>
    <xf numFmtId="2" fontId="1" fillId="7" borderId="0" xfId="0" applyNumberFormat="1" applyFont="1" applyFill="1" applyBorder="1" applyAlignment="1" applyProtection="1">
      <alignment horizontal="center" vertical="center"/>
      <protection locked="0"/>
    </xf>
    <xf numFmtId="2" fontId="1" fillId="7" borderId="0" xfId="0" applyNumberFormat="1" applyFont="1" applyFill="1" applyAlignment="1" applyProtection="1">
      <alignment vertical="center"/>
      <protection/>
    </xf>
    <xf numFmtId="0" fontId="1" fillId="7" borderId="0" xfId="0" applyFont="1" applyFill="1" applyAlignment="1" applyProtection="1">
      <alignment horizontal="left" vertical="center"/>
      <protection/>
    </xf>
    <xf numFmtId="1" fontId="1" fillId="7" borderId="0" xfId="0" applyNumberFormat="1" applyFont="1" applyFill="1" applyAlignment="1" applyProtection="1">
      <alignment horizontal="right" vertical="center"/>
      <protection/>
    </xf>
    <xf numFmtId="2" fontId="4" fillId="7" borderId="0" xfId="0" applyNumberFormat="1" applyFont="1" applyFill="1" applyAlignment="1" applyProtection="1">
      <alignment horizontal="center" vertical="center"/>
      <protection/>
    </xf>
    <xf numFmtId="180" fontId="1" fillId="7" borderId="0" xfId="0" applyNumberFormat="1" applyFont="1" applyFill="1" applyBorder="1" applyAlignment="1" applyProtection="1">
      <alignment vertical="center"/>
      <protection locked="0"/>
    </xf>
    <xf numFmtId="0" fontId="5" fillId="7" borderId="0" xfId="0" applyFont="1" applyFill="1" applyAlignment="1" applyProtection="1">
      <alignment horizontal="right" vertical="center"/>
      <protection/>
    </xf>
    <xf numFmtId="180" fontId="4" fillId="7" borderId="0" xfId="0" applyNumberFormat="1" applyFont="1" applyFill="1" applyBorder="1" applyAlignment="1" applyProtection="1">
      <alignment horizontal="center" vertical="center"/>
      <protection/>
    </xf>
    <xf numFmtId="181" fontId="3" fillId="7" borderId="0" xfId="0" applyNumberFormat="1" applyFont="1" applyFill="1" applyAlignment="1" applyProtection="1">
      <alignment horizontal="center" vertical="center"/>
      <protection/>
    </xf>
    <xf numFmtId="181" fontId="4" fillId="7" borderId="0" xfId="0" applyNumberFormat="1" applyFont="1" applyFill="1" applyAlignment="1" applyProtection="1">
      <alignment horizontal="center" vertical="center"/>
      <protection/>
    </xf>
    <xf numFmtId="0" fontId="12" fillId="7" borderId="0" xfId="0" applyFont="1" applyFill="1" applyAlignment="1" applyProtection="1">
      <alignment horizontal="left" vertical="center"/>
      <protection/>
    </xf>
    <xf numFmtId="0" fontId="12" fillId="7" borderId="0" xfId="0" applyFont="1" applyFill="1" applyAlignment="1" applyProtection="1">
      <alignment horizontal="right" vertical="center"/>
      <protection/>
    </xf>
    <xf numFmtId="0" fontId="13" fillId="7" borderId="0" xfId="0" applyFont="1" applyFill="1" applyAlignment="1" applyProtection="1">
      <alignment horizontal="right" vertical="center"/>
      <protection/>
    </xf>
    <xf numFmtId="0" fontId="1" fillId="7" borderId="1" xfId="0" applyFont="1" applyFill="1" applyBorder="1" applyAlignment="1" applyProtection="1">
      <alignment horizontal="center" vertical="center"/>
      <protection/>
    </xf>
    <xf numFmtId="0" fontId="1" fillId="7" borderId="2" xfId="0" applyFont="1" applyFill="1" applyBorder="1" applyAlignment="1" applyProtection="1">
      <alignment vertical="center"/>
      <protection/>
    </xf>
    <xf numFmtId="0" fontId="1" fillId="7" borderId="2" xfId="0" applyFont="1" applyFill="1" applyBorder="1" applyAlignment="1" applyProtection="1">
      <alignment horizontal="center" vertical="center"/>
      <protection/>
    </xf>
    <xf numFmtId="1" fontId="3" fillId="7" borderId="0" xfId="0" applyNumberFormat="1" applyFont="1" applyFill="1" applyAlignment="1" applyProtection="1">
      <alignment horizontal="center" vertical="center"/>
      <protection/>
    </xf>
    <xf numFmtId="0" fontId="1" fillId="7" borderId="1" xfId="0" applyFont="1" applyFill="1" applyBorder="1" applyAlignment="1" applyProtection="1">
      <alignment vertical="center"/>
      <protection/>
    </xf>
    <xf numFmtId="0" fontId="1" fillId="7" borderId="2" xfId="0" applyFont="1" applyFill="1" applyBorder="1" applyAlignment="1" applyProtection="1">
      <alignment horizontal="right" vertical="center"/>
      <protection/>
    </xf>
    <xf numFmtId="180" fontId="1" fillId="7" borderId="2" xfId="0" applyNumberFormat="1" applyFont="1" applyFill="1" applyBorder="1" applyAlignment="1" applyProtection="1">
      <alignment horizontal="center" vertical="center"/>
      <protection/>
    </xf>
    <xf numFmtId="0" fontId="5" fillId="7" borderId="2" xfId="0" applyFont="1" applyFill="1" applyBorder="1" applyAlignment="1" applyProtection="1">
      <alignment horizontal="right" vertical="center"/>
      <protection/>
    </xf>
    <xf numFmtId="181" fontId="4" fillId="5" borderId="0" xfId="0" applyNumberFormat="1" applyFont="1" applyFill="1" applyAlignment="1" applyProtection="1">
      <alignment horizontal="center" vertical="center"/>
      <protection/>
    </xf>
    <xf numFmtId="1" fontId="1" fillId="7" borderId="3" xfId="0" applyNumberFormat="1" applyFont="1" applyFill="1" applyBorder="1" applyAlignment="1" applyProtection="1">
      <alignment horizontal="center" vertical="center"/>
      <protection/>
    </xf>
    <xf numFmtId="0" fontId="12" fillId="7" borderId="0" xfId="0" applyFont="1" applyFill="1" applyAlignment="1" applyProtection="1">
      <alignment horizontal="center" vertical="center"/>
      <protection/>
    </xf>
    <xf numFmtId="1" fontId="1" fillId="7" borderId="0" xfId="0" applyNumberFormat="1" applyFont="1" applyFill="1" applyBorder="1" applyAlignment="1" applyProtection="1">
      <alignment horizontal="center" vertical="center"/>
      <protection/>
    </xf>
    <xf numFmtId="1" fontId="1" fillId="7" borderId="2" xfId="0" applyNumberFormat="1" applyFont="1" applyFill="1" applyBorder="1" applyAlignment="1" applyProtection="1">
      <alignment horizontal="left" vertical="center"/>
      <protection/>
    </xf>
    <xf numFmtId="181" fontId="1" fillId="7" borderId="2" xfId="0" applyNumberFormat="1" applyFont="1" applyFill="1" applyBorder="1" applyAlignment="1" applyProtection="1">
      <alignment horizontal="center" vertical="center"/>
      <protection/>
    </xf>
    <xf numFmtId="181" fontId="1" fillId="7" borderId="1" xfId="0" applyNumberFormat="1" applyFont="1" applyFill="1" applyBorder="1" applyAlignment="1" applyProtection="1">
      <alignment horizontal="center" vertical="center"/>
      <protection/>
    </xf>
    <xf numFmtId="181" fontId="1" fillId="7" borderId="0" xfId="0" applyNumberFormat="1" applyFont="1" applyFill="1" applyBorder="1" applyAlignment="1" applyProtection="1">
      <alignment horizontal="center" vertical="center"/>
      <protection/>
    </xf>
    <xf numFmtId="2" fontId="1" fillId="7" borderId="2" xfId="0" applyNumberFormat="1" applyFont="1" applyFill="1" applyBorder="1" applyAlignment="1" applyProtection="1">
      <alignment horizontal="center" vertical="center"/>
      <protection/>
    </xf>
    <xf numFmtId="2" fontId="1" fillId="7" borderId="2" xfId="0" applyNumberFormat="1" applyFont="1" applyFill="1" applyBorder="1" applyAlignment="1" applyProtection="1">
      <alignment horizontal="right" vertical="center"/>
      <protection/>
    </xf>
    <xf numFmtId="0" fontId="1" fillId="7" borderId="4" xfId="0" applyFont="1" applyFill="1" applyBorder="1" applyAlignment="1" applyProtection="1">
      <alignment horizontal="center" vertical="center"/>
      <protection/>
    </xf>
    <xf numFmtId="2" fontId="1" fillId="7" borderId="4" xfId="0" applyNumberFormat="1" applyFont="1" applyFill="1" applyBorder="1" applyAlignment="1" applyProtection="1">
      <alignment horizontal="center" vertical="center"/>
      <protection/>
    </xf>
    <xf numFmtId="0" fontId="1" fillId="7" borderId="4" xfId="0" applyFont="1" applyFill="1" applyBorder="1" applyAlignment="1" applyProtection="1">
      <alignment vertical="center"/>
      <protection/>
    </xf>
    <xf numFmtId="1" fontId="1" fillId="7" borderId="1" xfId="0" applyNumberFormat="1" applyFont="1" applyFill="1" applyBorder="1" applyAlignment="1" applyProtection="1">
      <alignment horizontal="center" vertical="center"/>
      <protection/>
    </xf>
    <xf numFmtId="0" fontId="3" fillId="7" borderId="1" xfId="0" applyFont="1" applyFill="1" applyBorder="1" applyAlignment="1" applyProtection="1">
      <alignment horizontal="left" vertical="center"/>
      <protection/>
    </xf>
    <xf numFmtId="2" fontId="1" fillId="2" borderId="0" xfId="0" applyNumberFormat="1" applyFont="1" applyFill="1" applyBorder="1" applyAlignment="1" applyProtection="1">
      <alignment horizontal="right" vertical="center"/>
      <protection locked="0"/>
    </xf>
    <xf numFmtId="181" fontId="1" fillId="4" borderId="0" xfId="0" applyNumberFormat="1" applyFont="1" applyFill="1" applyAlignment="1" applyProtection="1">
      <alignment horizontal="right" vertical="center"/>
      <protection/>
    </xf>
    <xf numFmtId="181" fontId="4" fillId="4" borderId="0" xfId="0" applyNumberFormat="1" applyFont="1" applyFill="1" applyAlignment="1" applyProtection="1">
      <alignment horizontal="right" vertical="center"/>
      <protection/>
    </xf>
    <xf numFmtId="1" fontId="1" fillId="7" borderId="1" xfId="15" applyNumberFormat="1" applyFont="1" applyFill="1" applyBorder="1" applyAlignment="1" applyProtection="1">
      <alignment horizontal="center" vertical="center"/>
      <protection/>
    </xf>
    <xf numFmtId="1" fontId="1" fillId="4" borderId="0" xfId="0" applyNumberFormat="1" applyFont="1" applyFill="1" applyAlignment="1" applyProtection="1">
      <alignment horizontal="center" vertical="center"/>
      <protection/>
    </xf>
    <xf numFmtId="180" fontId="1" fillId="7" borderId="4" xfId="0" applyNumberFormat="1" applyFont="1" applyFill="1" applyBorder="1" applyAlignment="1" applyProtection="1">
      <alignment horizontal="center" vertical="center"/>
      <protection/>
    </xf>
    <xf numFmtId="180" fontId="1" fillId="7" borderId="0" xfId="0" applyNumberFormat="1" applyFont="1" applyFill="1" applyBorder="1" applyAlignment="1" applyProtection="1">
      <alignment horizontal="center" vertical="center"/>
      <protection/>
    </xf>
    <xf numFmtId="181" fontId="1" fillId="7" borderId="5" xfId="0" applyNumberFormat="1" applyFont="1" applyFill="1" applyBorder="1" applyAlignment="1" applyProtection="1">
      <alignment horizontal="center" vertical="center"/>
      <protection/>
    </xf>
    <xf numFmtId="2" fontId="1" fillId="4" borderId="0" xfId="0" applyNumberFormat="1" applyFont="1" applyFill="1" applyAlignment="1" applyProtection="1">
      <alignment horizontal="right" vertical="center"/>
      <protection/>
    </xf>
    <xf numFmtId="2" fontId="1" fillId="7" borderId="1" xfId="0" applyNumberFormat="1" applyFont="1" applyFill="1" applyBorder="1" applyAlignment="1" applyProtection="1">
      <alignment horizontal="right" vertical="center"/>
      <protection/>
    </xf>
    <xf numFmtId="0" fontId="1" fillId="7" borderId="1" xfId="0" applyFont="1" applyFill="1" applyBorder="1" applyAlignment="1" applyProtection="1">
      <alignment horizontal="right" vertical="center"/>
      <protection/>
    </xf>
    <xf numFmtId="2" fontId="4" fillId="7" borderId="1" xfId="0" applyNumberFormat="1" applyFont="1" applyFill="1" applyBorder="1" applyAlignment="1" applyProtection="1">
      <alignment horizontal="center" vertical="center"/>
      <protection/>
    </xf>
    <xf numFmtId="181" fontId="4" fillId="7" borderId="1" xfId="0" applyNumberFormat="1" applyFont="1" applyFill="1" applyBorder="1" applyAlignment="1" applyProtection="1">
      <alignment horizontal="center" vertical="center"/>
      <protection/>
    </xf>
    <xf numFmtId="0" fontId="5" fillId="8" borderId="0" xfId="0" applyFont="1" applyFill="1" applyBorder="1" applyAlignment="1" applyProtection="1">
      <alignment horizontal="center" vertical="center"/>
      <protection/>
    </xf>
    <xf numFmtId="0" fontId="4" fillId="8" borderId="0" xfId="0" applyFont="1" applyFill="1" applyBorder="1" applyAlignment="1" applyProtection="1">
      <alignment horizontal="center" vertical="center"/>
      <protection/>
    </xf>
    <xf numFmtId="1" fontId="1" fillId="7" borderId="0" xfId="0" applyNumberFormat="1" applyFont="1" applyFill="1" applyAlignment="1" applyProtection="1">
      <alignment vertical="center"/>
      <protection/>
    </xf>
    <xf numFmtId="0" fontId="5" fillId="7" borderId="6" xfId="0" applyFont="1" applyFill="1" applyBorder="1" applyAlignment="1" applyProtection="1">
      <alignment horizontal="center" vertical="center"/>
      <protection/>
    </xf>
    <xf numFmtId="18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7" borderId="6" xfId="0" applyFont="1" applyFill="1" applyBorder="1" applyAlignment="1" applyProtection="1">
      <alignment horizontal="center" vertical="center"/>
      <protection/>
    </xf>
    <xf numFmtId="0" fontId="2" fillId="7" borderId="0" xfId="0" applyFont="1" applyFill="1" applyBorder="1" applyAlignment="1" applyProtection="1">
      <alignment horizontal="right" vertical="center"/>
      <protection/>
    </xf>
    <xf numFmtId="0" fontId="3" fillId="7" borderId="1" xfId="0" applyFont="1" applyFill="1" applyBorder="1" applyAlignment="1" applyProtection="1">
      <alignment horizontal="right" vertical="center"/>
      <protection/>
    </xf>
    <xf numFmtId="0" fontId="3" fillId="7" borderId="0" xfId="0" applyFont="1" applyFill="1" applyBorder="1" applyAlignment="1" applyProtection="1">
      <alignment horizontal="left" vertical="center"/>
      <protection/>
    </xf>
    <xf numFmtId="0" fontId="1" fillId="7" borderId="0" xfId="0" applyFont="1" applyFill="1" applyBorder="1" applyAlignment="1" applyProtection="1">
      <alignment horizontal="right" vertical="center"/>
      <protection/>
    </xf>
    <xf numFmtId="184" fontId="1" fillId="7" borderId="0" xfId="0" applyNumberFormat="1" applyFont="1" applyFill="1" applyAlignment="1" applyProtection="1">
      <alignment horizontal="right" vertical="center"/>
      <protection/>
    </xf>
    <xf numFmtId="1" fontId="1" fillId="4" borderId="0" xfId="0" applyNumberFormat="1" applyFont="1" applyFill="1" applyAlignment="1" applyProtection="1">
      <alignment horizontal="right" vertical="center"/>
      <protection/>
    </xf>
    <xf numFmtId="0" fontId="4" fillId="7" borderId="7" xfId="0" applyFont="1" applyFill="1" applyBorder="1" applyAlignment="1" applyProtection="1">
      <alignment horizontal="right" vertical="center"/>
      <protection/>
    </xf>
    <xf numFmtId="0" fontId="2" fillId="7" borderId="1" xfId="0" applyFont="1" applyFill="1" applyBorder="1" applyAlignment="1" applyProtection="1">
      <alignment horizontal="right" vertical="center"/>
      <protection/>
    </xf>
    <xf numFmtId="0" fontId="1" fillId="7" borderId="0" xfId="0" applyFont="1" applyFill="1" applyBorder="1" applyAlignment="1" applyProtection="1">
      <alignment horizontal="center" vertical="center"/>
      <protection/>
    </xf>
    <xf numFmtId="2" fontId="1" fillId="7" borderId="1" xfId="0" applyNumberFormat="1" applyFont="1" applyFill="1" applyBorder="1" applyAlignment="1" applyProtection="1">
      <alignment horizontal="center" vertical="center"/>
      <protection/>
    </xf>
    <xf numFmtId="0" fontId="3" fillId="7" borderId="0" xfId="0" applyFont="1" applyFill="1" applyBorder="1" applyAlignment="1" applyProtection="1">
      <alignment vertical="center"/>
      <protection/>
    </xf>
    <xf numFmtId="180" fontId="1" fillId="7" borderId="0" xfId="0" applyNumberFormat="1" applyFont="1" applyFill="1" applyBorder="1" applyAlignment="1" applyProtection="1">
      <alignment horizontal="right" vertical="center"/>
      <protection/>
    </xf>
    <xf numFmtId="0" fontId="1" fillId="7" borderId="0" xfId="0" applyFont="1" applyFill="1" applyBorder="1" applyAlignment="1" applyProtection="1">
      <alignment vertical="center"/>
      <protection/>
    </xf>
    <xf numFmtId="2" fontId="1" fillId="7" borderId="0" xfId="0" applyNumberFormat="1" applyFont="1" applyFill="1" applyBorder="1" applyAlignment="1" applyProtection="1">
      <alignment horizontal="right" vertical="center"/>
      <protection/>
    </xf>
    <xf numFmtId="181" fontId="4" fillId="7" borderId="0" xfId="0" applyNumberFormat="1" applyFont="1" applyFill="1" applyBorder="1" applyAlignment="1" applyProtection="1">
      <alignment horizontal="center" vertical="center"/>
      <protection/>
    </xf>
    <xf numFmtId="181" fontId="4" fillId="7" borderId="4" xfId="0" applyNumberFormat="1" applyFont="1" applyFill="1" applyBorder="1" applyAlignment="1" applyProtection="1">
      <alignment horizontal="center" vertical="center"/>
      <protection/>
    </xf>
    <xf numFmtId="192" fontId="1" fillId="7" borderId="0" xfId="0" applyNumberFormat="1" applyFont="1" applyFill="1" applyAlignment="1" applyProtection="1">
      <alignment horizontal="center" vertical="center"/>
      <protection/>
    </xf>
    <xf numFmtId="11" fontId="1" fillId="7" borderId="0" xfId="0" applyNumberFormat="1" applyFont="1" applyFill="1" applyAlignment="1" applyProtection="1">
      <alignment horizontal="center" vertical="center"/>
      <protection/>
    </xf>
    <xf numFmtId="180" fontId="1" fillId="7" borderId="1" xfId="0" applyNumberFormat="1" applyFont="1" applyFill="1" applyBorder="1" applyAlignment="1" applyProtection="1">
      <alignment horizontal="center" vertical="center"/>
      <protection/>
    </xf>
    <xf numFmtId="0" fontId="5" fillId="7" borderId="0" xfId="0" applyFont="1" applyFill="1" applyBorder="1" applyAlignment="1" applyProtection="1">
      <alignment horizontal="right" vertical="center"/>
      <protection/>
    </xf>
    <xf numFmtId="0" fontId="1" fillId="3" borderId="0" xfId="0" applyFont="1" applyFill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1" fontId="1" fillId="7" borderId="3" xfId="0" applyNumberFormat="1" applyFont="1" applyFill="1" applyBorder="1" applyAlignment="1" applyProtection="1">
      <alignment horizontal="center" vertical="center"/>
      <protection/>
    </xf>
    <xf numFmtId="1" fontId="1" fillId="5" borderId="0" xfId="0" applyNumberFormat="1" applyFont="1" applyFill="1" applyAlignment="1" applyProtection="1">
      <alignment horizontal="center" vertical="center"/>
      <protection/>
    </xf>
    <xf numFmtId="1" fontId="1" fillId="7" borderId="0" xfId="0" applyNumberFormat="1" applyFont="1" applyFill="1" applyBorder="1" applyAlignment="1" applyProtection="1">
      <alignment horizontal="right" vertical="center"/>
      <protection/>
    </xf>
    <xf numFmtId="1" fontId="4" fillId="3" borderId="0" xfId="0" applyNumberFormat="1" applyFont="1" applyFill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184" fontId="1" fillId="2" borderId="4" xfId="0" applyNumberFormat="1" applyFont="1" applyFill="1" applyBorder="1" applyAlignment="1" applyProtection="1">
      <alignment horizontal="center" vertical="center"/>
      <protection locked="0"/>
    </xf>
    <xf numFmtId="184" fontId="1" fillId="2" borderId="0" xfId="0" applyNumberFormat="1" applyFont="1" applyFill="1" applyBorder="1" applyAlignment="1" applyProtection="1">
      <alignment horizontal="center" vertical="center"/>
      <protection locked="0"/>
    </xf>
    <xf numFmtId="18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vertical="center"/>
      <protection/>
    </xf>
    <xf numFmtId="0" fontId="1" fillId="7" borderId="10" xfId="0" applyFont="1" applyFill="1" applyBorder="1" applyAlignment="1" applyProtection="1">
      <alignment vertical="center"/>
      <protection/>
    </xf>
    <xf numFmtId="0" fontId="1" fillId="7" borderId="8" xfId="0" applyFont="1" applyFill="1" applyBorder="1" applyAlignment="1" applyProtection="1">
      <alignment horizontal="center" vertical="center"/>
      <protection/>
    </xf>
    <xf numFmtId="180" fontId="3" fillId="4" borderId="8" xfId="0" applyNumberFormat="1" applyFont="1" applyFill="1" applyBorder="1" applyAlignment="1" applyProtection="1">
      <alignment horizontal="center" vertical="center"/>
      <protection/>
    </xf>
    <xf numFmtId="180" fontId="5" fillId="7" borderId="11" xfId="0" applyNumberFormat="1" applyFont="1" applyFill="1" applyBorder="1" applyAlignment="1" applyProtection="1">
      <alignment horizontal="right" vertical="center"/>
      <protection/>
    </xf>
    <xf numFmtId="0" fontId="5" fillId="7" borderId="12" xfId="0" applyFont="1" applyFill="1" applyBorder="1" applyAlignment="1" applyProtection="1">
      <alignment horizontal="center" vertical="center"/>
      <protection/>
    </xf>
    <xf numFmtId="0" fontId="4" fillId="7" borderId="9" xfId="0" applyFont="1" applyFill="1" applyBorder="1" applyAlignment="1" applyProtection="1">
      <alignment horizontal="left" vertical="center"/>
      <protection/>
    </xf>
    <xf numFmtId="181" fontId="4" fillId="7" borderId="0" xfId="0" applyNumberFormat="1" applyFont="1" applyFill="1" applyBorder="1" applyAlignment="1" applyProtection="1">
      <alignment vertical="center"/>
      <protection/>
    </xf>
    <xf numFmtId="181" fontId="1" fillId="7" borderId="0" xfId="0" applyNumberFormat="1" applyFont="1" applyFill="1" applyBorder="1" applyAlignment="1" applyProtection="1">
      <alignment vertical="center"/>
      <protection/>
    </xf>
    <xf numFmtId="1" fontId="1" fillId="7" borderId="13" xfId="0" applyNumberFormat="1" applyFont="1" applyFill="1" applyBorder="1" applyAlignment="1" applyProtection="1">
      <alignment horizontal="center" vertical="center"/>
      <protection/>
    </xf>
    <xf numFmtId="2" fontId="15" fillId="7" borderId="0" xfId="0" applyNumberFormat="1" applyFont="1" applyFill="1" applyAlignment="1" applyProtection="1">
      <alignment horizontal="left" vertical="center"/>
      <protection/>
    </xf>
    <xf numFmtId="0" fontId="1" fillId="7" borderId="14" xfId="0" applyFont="1" applyFill="1" applyBorder="1" applyAlignment="1" applyProtection="1">
      <alignment vertical="center"/>
      <protection/>
    </xf>
    <xf numFmtId="180" fontId="1" fillId="7" borderId="8" xfId="0" applyNumberFormat="1" applyFont="1" applyFill="1" applyBorder="1" applyAlignment="1" applyProtection="1">
      <alignment horizontal="center" vertical="center"/>
      <protection/>
    </xf>
    <xf numFmtId="0" fontId="1" fillId="7" borderId="9" xfId="0" applyFont="1" applyFill="1" applyBorder="1" applyAlignment="1" applyProtection="1">
      <alignment horizontal="left" vertical="center"/>
      <protection/>
    </xf>
    <xf numFmtId="0" fontId="1" fillId="7" borderId="15" xfId="0" applyFont="1" applyFill="1" applyBorder="1" applyAlignment="1" applyProtection="1">
      <alignment vertical="center"/>
      <protection/>
    </xf>
    <xf numFmtId="0" fontId="1" fillId="7" borderId="16" xfId="0" applyFont="1" applyFill="1" applyBorder="1" applyAlignment="1" applyProtection="1">
      <alignment vertical="center"/>
      <protection/>
    </xf>
    <xf numFmtId="0" fontId="1" fillId="7" borderId="17" xfId="0" applyFont="1" applyFill="1" applyBorder="1" applyAlignment="1" applyProtection="1">
      <alignment vertical="center"/>
      <protection/>
    </xf>
    <xf numFmtId="0" fontId="1" fillId="7" borderId="18" xfId="0" applyFont="1" applyFill="1" applyBorder="1" applyAlignment="1" applyProtection="1">
      <alignment horizontal="center" vertical="center"/>
      <protection/>
    </xf>
    <xf numFmtId="181" fontId="1" fillId="7" borderId="3" xfId="0" applyNumberFormat="1" applyFont="1" applyFill="1" applyBorder="1" applyAlignment="1" applyProtection="1">
      <alignment horizontal="center" vertical="center"/>
      <protection/>
    </xf>
    <xf numFmtId="2" fontId="1" fillId="7" borderId="3" xfId="0" applyNumberFormat="1" applyFont="1" applyFill="1" applyBorder="1" applyAlignment="1" applyProtection="1">
      <alignment horizontal="center" vertical="center"/>
      <protection/>
    </xf>
    <xf numFmtId="0" fontId="1" fillId="7" borderId="19" xfId="0" applyFont="1" applyFill="1" applyBorder="1" applyAlignment="1" applyProtection="1">
      <alignment horizontal="center" vertical="center"/>
      <protection/>
    </xf>
    <xf numFmtId="0" fontId="1" fillId="7" borderId="3" xfId="0" applyFont="1" applyFill="1" applyBorder="1" applyAlignment="1" applyProtection="1">
      <alignment horizontal="center" vertical="center"/>
      <protection/>
    </xf>
    <xf numFmtId="0" fontId="1" fillId="7" borderId="3" xfId="0" applyFont="1" applyFill="1" applyBorder="1" applyAlignment="1" applyProtection="1">
      <alignment vertical="center"/>
      <protection/>
    </xf>
    <xf numFmtId="0" fontId="4" fillId="4" borderId="20" xfId="0" applyFont="1" applyFill="1" applyBorder="1" applyAlignment="1" applyProtection="1">
      <alignment horizontal="center" vertical="center"/>
      <protection/>
    </xf>
    <xf numFmtId="0" fontId="4" fillId="4" borderId="18" xfId="0" applyFont="1" applyFill="1" applyBorder="1" applyAlignment="1" applyProtection="1">
      <alignment horizontal="center" vertical="center"/>
      <protection/>
    </xf>
    <xf numFmtId="0" fontId="4" fillId="4" borderId="6" xfId="0" applyFont="1" applyFill="1" applyBorder="1" applyAlignment="1" applyProtection="1">
      <alignment horizontal="center" vertical="center"/>
      <protection/>
    </xf>
    <xf numFmtId="0" fontId="1" fillId="7" borderId="21" xfId="0" applyFont="1" applyFill="1" applyBorder="1" applyAlignment="1" applyProtection="1">
      <alignment vertical="center"/>
      <protection/>
    </xf>
    <xf numFmtId="0" fontId="1" fillId="7" borderId="5" xfId="0" applyFont="1" applyFill="1" applyBorder="1" applyAlignment="1" applyProtection="1">
      <alignment vertical="center"/>
      <protection/>
    </xf>
    <xf numFmtId="180" fontId="1" fillId="7" borderId="20" xfId="0" applyNumberFormat="1" applyFont="1" applyFill="1" applyBorder="1" applyAlignment="1" applyProtection="1">
      <alignment horizontal="right" vertical="center"/>
      <protection/>
    </xf>
    <xf numFmtId="180" fontId="1" fillId="7" borderId="18" xfId="0" applyNumberFormat="1" applyFont="1" applyFill="1" applyBorder="1" applyAlignment="1" applyProtection="1">
      <alignment horizontal="right" vertical="center"/>
      <protection/>
    </xf>
    <xf numFmtId="180" fontId="1" fillId="7" borderId="6" xfId="0" applyNumberFormat="1" applyFont="1" applyFill="1" applyBorder="1" applyAlignment="1" applyProtection="1">
      <alignment horizontal="right" vertical="center"/>
      <protection/>
    </xf>
    <xf numFmtId="180" fontId="1" fillId="7" borderId="19" xfId="0" applyNumberFormat="1" applyFont="1" applyFill="1" applyBorder="1" applyAlignment="1" applyProtection="1">
      <alignment horizontal="right" vertical="center"/>
      <protection/>
    </xf>
    <xf numFmtId="180" fontId="1" fillId="7" borderId="3" xfId="0" applyNumberFormat="1" applyFont="1" applyFill="1" applyBorder="1" applyAlignment="1" applyProtection="1">
      <alignment horizontal="right" vertical="center"/>
      <protection/>
    </xf>
    <xf numFmtId="180" fontId="1" fillId="7" borderId="2" xfId="0" applyNumberFormat="1" applyFont="1" applyFill="1" applyBorder="1" applyAlignment="1" applyProtection="1">
      <alignment horizontal="right" vertical="center"/>
      <protection/>
    </xf>
    <xf numFmtId="2" fontId="1" fillId="7" borderId="22" xfId="0" applyNumberFormat="1" applyFont="1" applyFill="1" applyBorder="1" applyAlignment="1" applyProtection="1">
      <alignment horizontal="right" vertical="center"/>
      <protection/>
    </xf>
    <xf numFmtId="2" fontId="1" fillId="7" borderId="23" xfId="0" applyNumberFormat="1" applyFont="1" applyFill="1" applyBorder="1" applyAlignment="1" applyProtection="1">
      <alignment horizontal="right" vertical="center"/>
      <protection/>
    </xf>
    <xf numFmtId="2" fontId="1" fillId="7" borderId="24" xfId="0" applyNumberFormat="1" applyFont="1" applyFill="1" applyBorder="1" applyAlignment="1" applyProtection="1">
      <alignment horizontal="right" vertical="center"/>
      <protection/>
    </xf>
    <xf numFmtId="0" fontId="4" fillId="4" borderId="19" xfId="0" applyFont="1" applyFill="1" applyBorder="1" applyAlignment="1" applyProtection="1">
      <alignment horizontal="center" vertical="center"/>
      <protection/>
    </xf>
    <xf numFmtId="180" fontId="1" fillId="3" borderId="20" xfId="0" applyNumberFormat="1" applyFont="1" applyFill="1" applyBorder="1" applyAlignment="1" applyProtection="1">
      <alignment vertical="center"/>
      <protection locked="0"/>
    </xf>
    <xf numFmtId="180" fontId="1" fillId="3" borderId="18" xfId="0" applyNumberFormat="1" applyFont="1" applyFill="1" applyBorder="1" applyAlignment="1" applyProtection="1">
      <alignment vertical="center"/>
      <protection locked="0"/>
    </xf>
    <xf numFmtId="180" fontId="1" fillId="3" borderId="6" xfId="0" applyNumberFormat="1" applyFont="1" applyFill="1" applyBorder="1" applyAlignment="1" applyProtection="1">
      <alignment vertical="center"/>
      <protection locked="0"/>
    </xf>
    <xf numFmtId="180" fontId="1" fillId="3" borderId="19" xfId="0" applyNumberFormat="1" applyFont="1" applyFill="1" applyBorder="1" applyAlignment="1" applyProtection="1">
      <alignment horizontal="right" vertical="center"/>
      <protection locked="0"/>
    </xf>
    <xf numFmtId="180" fontId="1" fillId="3" borderId="3" xfId="0" applyNumberFormat="1" applyFont="1" applyFill="1" applyBorder="1" applyAlignment="1" applyProtection="1">
      <alignment horizontal="right" vertical="center"/>
      <protection locked="0"/>
    </xf>
    <xf numFmtId="180" fontId="1" fillId="3" borderId="2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vertical="center"/>
      <protection locked="0"/>
    </xf>
    <xf numFmtId="2" fontId="1" fillId="3" borderId="23" xfId="0" applyNumberFormat="1" applyFont="1" applyFill="1" applyBorder="1" applyAlignment="1" applyProtection="1">
      <alignment vertical="center"/>
      <protection locked="0"/>
    </xf>
    <xf numFmtId="2" fontId="1" fillId="3" borderId="24" xfId="0" applyNumberFormat="1" applyFont="1" applyFill="1" applyBorder="1" applyAlignment="1" applyProtection="1">
      <alignment vertical="center"/>
      <protection locked="0"/>
    </xf>
    <xf numFmtId="2" fontId="1" fillId="7" borderId="25" xfId="0" applyNumberFormat="1" applyFont="1" applyFill="1" applyBorder="1" applyAlignment="1" applyProtection="1">
      <alignment horizontal="right" vertical="center"/>
      <protection/>
    </xf>
    <xf numFmtId="180" fontId="1" fillId="7" borderId="23" xfId="0" applyNumberFormat="1" applyFont="1" applyFill="1" applyBorder="1" applyAlignment="1" applyProtection="1">
      <alignment horizontal="right" vertical="center"/>
      <protection/>
    </xf>
    <xf numFmtId="2" fontId="1" fillId="7" borderId="26" xfId="0" applyNumberFormat="1" applyFont="1" applyFill="1" applyBorder="1" applyAlignment="1" applyProtection="1">
      <alignment horizontal="right" vertical="center"/>
      <protection/>
    </xf>
    <xf numFmtId="180" fontId="1" fillId="7" borderId="22" xfId="0" applyNumberFormat="1" applyFont="1" applyFill="1" applyBorder="1" applyAlignment="1" applyProtection="1">
      <alignment horizontal="right" vertical="center"/>
      <protection/>
    </xf>
    <xf numFmtId="2" fontId="1" fillId="7" borderId="19" xfId="0" applyNumberFormat="1" applyFont="1" applyFill="1" applyBorder="1" applyAlignment="1" applyProtection="1">
      <alignment horizontal="center" vertical="center"/>
      <protection/>
    </xf>
    <xf numFmtId="181" fontId="1" fillId="3" borderId="19" xfId="0" applyNumberFormat="1" applyFont="1" applyFill="1" applyBorder="1" applyAlignment="1" applyProtection="1">
      <alignment horizontal="center" vertical="center"/>
      <protection locked="0"/>
    </xf>
    <xf numFmtId="181" fontId="1" fillId="3" borderId="3" xfId="0" applyNumberFormat="1" applyFont="1" applyFill="1" applyBorder="1" applyAlignment="1" applyProtection="1">
      <alignment horizontal="center" vertical="center"/>
      <protection locked="0"/>
    </xf>
    <xf numFmtId="2" fontId="1" fillId="7" borderId="26" xfId="0" applyNumberFormat="1" applyFont="1" applyFill="1" applyBorder="1" applyAlignment="1" applyProtection="1">
      <alignment horizontal="center" vertical="center"/>
      <protection/>
    </xf>
    <xf numFmtId="2" fontId="1" fillId="7" borderId="25" xfId="0" applyNumberFormat="1" applyFont="1" applyFill="1" applyBorder="1" applyAlignment="1" applyProtection="1">
      <alignment horizontal="center" vertical="center"/>
      <protection/>
    </xf>
    <xf numFmtId="181" fontId="1" fillId="7" borderId="19" xfId="0" applyNumberFormat="1" applyFont="1" applyFill="1" applyBorder="1" applyAlignment="1" applyProtection="1">
      <alignment horizontal="center" vertical="center"/>
      <protection/>
    </xf>
    <xf numFmtId="0" fontId="1" fillId="7" borderId="25" xfId="0" applyFont="1" applyFill="1" applyBorder="1" applyAlignment="1" applyProtection="1">
      <alignment horizontal="center" vertical="center"/>
      <protection/>
    </xf>
    <xf numFmtId="2" fontId="5" fillId="7" borderId="18" xfId="0" applyNumberFormat="1" applyFont="1" applyFill="1" applyBorder="1" applyAlignment="1" applyProtection="1">
      <alignment horizontal="center" vertical="center"/>
      <protection/>
    </xf>
    <xf numFmtId="180" fontId="5" fillId="7" borderId="18" xfId="0" applyNumberFormat="1" applyFont="1" applyFill="1" applyBorder="1" applyAlignment="1" applyProtection="1">
      <alignment horizontal="center" vertical="center"/>
      <protection/>
    </xf>
    <xf numFmtId="0" fontId="5" fillId="7" borderId="18" xfId="0" applyFont="1" applyFill="1" applyBorder="1" applyAlignment="1" applyProtection="1">
      <alignment horizontal="center" vertical="center"/>
      <protection/>
    </xf>
    <xf numFmtId="180" fontId="1" fillId="7" borderId="3" xfId="0" applyNumberFormat="1" applyFont="1" applyFill="1" applyBorder="1" applyAlignment="1" applyProtection="1">
      <alignment horizontal="center" vertical="center"/>
      <protection/>
    </xf>
    <xf numFmtId="181" fontId="3" fillId="4" borderId="3" xfId="0" applyNumberFormat="1" applyFont="1" applyFill="1" applyBorder="1" applyAlignment="1" applyProtection="1">
      <alignment horizontal="center" vertical="center"/>
      <protection/>
    </xf>
    <xf numFmtId="180" fontId="13" fillId="4" borderId="12" xfId="0" applyNumberFormat="1" applyFont="1" applyFill="1" applyBorder="1" applyAlignment="1" applyProtection="1">
      <alignment horizontal="center" vertical="center"/>
      <protection/>
    </xf>
    <xf numFmtId="180" fontId="13" fillId="3" borderId="19" xfId="0" applyNumberFormat="1" applyFont="1" applyFill="1" applyBorder="1" applyAlignment="1" applyProtection="1">
      <alignment horizontal="right" vertical="center"/>
      <protection locked="0"/>
    </xf>
    <xf numFmtId="180" fontId="13" fillId="3" borderId="3" xfId="0" applyNumberFormat="1" applyFont="1" applyFill="1" applyBorder="1" applyAlignment="1" applyProtection="1">
      <alignment horizontal="right" vertical="center"/>
      <protection locked="0"/>
    </xf>
    <xf numFmtId="180" fontId="13" fillId="3" borderId="2" xfId="0" applyNumberFormat="1" applyFont="1" applyFill="1" applyBorder="1" applyAlignment="1" applyProtection="1">
      <alignment horizontal="right" vertical="center"/>
      <protection locked="0"/>
    </xf>
    <xf numFmtId="180" fontId="13" fillId="4" borderId="8" xfId="0" applyNumberFormat="1" applyFont="1" applyFill="1" applyBorder="1" applyAlignment="1" applyProtection="1">
      <alignment horizontal="center" vertical="center"/>
      <protection/>
    </xf>
    <xf numFmtId="180" fontId="1" fillId="3" borderId="19" xfId="0" applyNumberFormat="1" applyFont="1" applyFill="1" applyBorder="1" applyAlignment="1" applyProtection="1">
      <alignment vertical="center"/>
      <protection locked="0"/>
    </xf>
    <xf numFmtId="180" fontId="1" fillId="3" borderId="3" xfId="0" applyNumberFormat="1" applyFont="1" applyFill="1" applyBorder="1" applyAlignment="1" applyProtection="1">
      <alignment vertical="center"/>
      <protection locked="0"/>
    </xf>
    <xf numFmtId="180" fontId="1" fillId="3" borderId="2" xfId="0" applyNumberFormat="1" applyFont="1" applyFill="1" applyBorder="1" applyAlignment="1" applyProtection="1">
      <alignment vertical="center"/>
      <protection locked="0"/>
    </xf>
    <xf numFmtId="180" fontId="3" fillId="4" borderId="3" xfId="0" applyNumberFormat="1" applyFont="1" applyFill="1" applyBorder="1" applyAlignment="1" applyProtection="1">
      <alignment horizontal="center" vertical="center"/>
      <protection/>
    </xf>
    <xf numFmtId="180" fontId="13" fillId="7" borderId="27" xfId="0" applyNumberFormat="1" applyFont="1" applyFill="1" applyBorder="1" applyAlignment="1" applyProtection="1">
      <alignment horizontal="right" vertical="center"/>
      <protection/>
    </xf>
    <xf numFmtId="180" fontId="13" fillId="7" borderId="28" xfId="0" applyNumberFormat="1" applyFont="1" applyFill="1" applyBorder="1" applyAlignment="1" applyProtection="1">
      <alignment horizontal="right" vertical="center"/>
      <protection/>
    </xf>
    <xf numFmtId="184" fontId="1" fillId="7" borderId="8" xfId="0" applyNumberFormat="1" applyFont="1" applyFill="1" applyBorder="1" applyAlignment="1" applyProtection="1">
      <alignment horizontal="center" vertical="center"/>
      <protection/>
    </xf>
    <xf numFmtId="2" fontId="1" fillId="5" borderId="0" xfId="0" applyNumberFormat="1" applyFont="1" applyFill="1" applyAlignment="1" applyProtection="1">
      <alignment horizontal="center" vertical="center"/>
      <protection/>
    </xf>
    <xf numFmtId="2" fontId="1" fillId="7" borderId="6" xfId="0" applyNumberFormat="1" applyFont="1" applyFill="1" applyBorder="1" applyAlignment="1" applyProtection="1">
      <alignment horizontal="right" vertical="center"/>
      <protection/>
    </xf>
    <xf numFmtId="181" fontId="1" fillId="5" borderId="29" xfId="0" applyNumberFormat="1" applyFont="1" applyFill="1" applyBorder="1" applyAlignment="1" applyProtection="1">
      <alignment horizontal="center" vertical="center"/>
      <protection/>
    </xf>
    <xf numFmtId="0" fontId="16" fillId="7" borderId="0" xfId="0" applyFont="1" applyFill="1" applyAlignment="1" applyProtection="1">
      <alignment horizontal="right" vertical="center"/>
      <protection/>
    </xf>
    <xf numFmtId="0" fontId="16" fillId="7" borderId="0" xfId="0" applyFont="1" applyFill="1" applyAlignment="1" applyProtection="1">
      <alignment vertical="center"/>
      <protection/>
    </xf>
    <xf numFmtId="1" fontId="4" fillId="3" borderId="3" xfId="0" applyNumberFormat="1" applyFont="1" applyFill="1" applyBorder="1" applyAlignment="1" applyProtection="1">
      <alignment horizontal="center" vertical="center"/>
      <protection locked="0"/>
    </xf>
    <xf numFmtId="1" fontId="1" fillId="7" borderId="28" xfId="0" applyNumberFormat="1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Border="1" applyAlignment="1" applyProtection="1">
      <alignment horizontal="right" vertical="center"/>
      <protection/>
    </xf>
    <xf numFmtId="0" fontId="2" fillId="9" borderId="0" xfId="0" applyFont="1" applyFill="1" applyAlignment="1" applyProtection="1">
      <alignment vertical="center"/>
      <protection/>
    </xf>
    <xf numFmtId="0" fontId="4" fillId="9" borderId="0" xfId="0" applyFont="1" applyFill="1" applyAlignment="1" applyProtection="1">
      <alignment horizontal="center" vertical="center"/>
      <protection/>
    </xf>
    <xf numFmtId="0" fontId="4" fillId="9" borderId="3" xfId="0" applyFont="1" applyFill="1" applyBorder="1" applyAlignment="1" applyProtection="1">
      <alignment horizontal="center" vertical="center"/>
      <protection/>
    </xf>
    <xf numFmtId="0" fontId="1" fillId="9" borderId="0" xfId="0" applyFont="1" applyFill="1" applyAlignment="1" applyProtection="1">
      <alignment vertical="center"/>
      <protection/>
    </xf>
    <xf numFmtId="0" fontId="16" fillId="7" borderId="0" xfId="0" applyFont="1" applyFill="1" applyAlignment="1" applyProtection="1">
      <alignment horizontal="left" vertical="center"/>
      <protection/>
    </xf>
    <xf numFmtId="0" fontId="2" fillId="9" borderId="1" xfId="0" applyFont="1" applyFill="1" applyBorder="1" applyAlignment="1" applyProtection="1">
      <alignment vertical="center"/>
      <protection/>
    </xf>
    <xf numFmtId="180" fontId="1" fillId="9" borderId="1" xfId="0" applyNumberFormat="1" applyFont="1" applyFill="1" applyBorder="1" applyAlignment="1" applyProtection="1">
      <alignment horizontal="center" vertical="center"/>
      <protection/>
    </xf>
    <xf numFmtId="0" fontId="1" fillId="9" borderId="1" xfId="0" applyFont="1" applyFill="1" applyBorder="1" applyAlignment="1" applyProtection="1">
      <alignment horizontal="center" vertical="center"/>
      <protection/>
    </xf>
    <xf numFmtId="0" fontId="2" fillId="7" borderId="7" xfId="0" applyFont="1" applyFill="1" applyBorder="1" applyAlignment="1" applyProtection="1">
      <alignment vertical="center"/>
      <protection/>
    </xf>
    <xf numFmtId="0" fontId="3" fillId="7" borderId="0" xfId="0" applyFont="1" applyFill="1" applyBorder="1" applyAlignment="1" applyProtection="1">
      <alignment horizontal="center" vertical="center"/>
      <protection/>
    </xf>
    <xf numFmtId="0" fontId="3" fillId="7" borderId="2" xfId="0" applyFont="1" applyFill="1" applyBorder="1" applyAlignment="1" applyProtection="1">
      <alignment horizontal="right" vertical="center"/>
      <protection/>
    </xf>
    <xf numFmtId="0" fontId="5" fillId="7" borderId="2" xfId="0" applyFont="1" applyFill="1" applyBorder="1" applyAlignment="1" applyProtection="1">
      <alignment horizontal="center" vertical="center"/>
      <protection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7" borderId="2" xfId="0" applyNumberFormat="1" applyFont="1" applyFill="1" applyBorder="1" applyAlignment="1" applyProtection="1">
      <alignment horizontal="center" vertical="center"/>
      <protection/>
    </xf>
    <xf numFmtId="180" fontId="14" fillId="9" borderId="1" xfId="0" applyNumberFormat="1" applyFont="1" applyFill="1" applyBorder="1" applyAlignment="1" applyProtection="1">
      <alignment horizontal="center" vertical="center"/>
      <protection/>
    </xf>
    <xf numFmtId="180" fontId="2" fillId="9" borderId="1" xfId="0" applyNumberFormat="1" applyFont="1" applyFill="1" applyBorder="1" applyAlignment="1" applyProtection="1">
      <alignment horizontal="center" vertical="center"/>
      <protection/>
    </xf>
    <xf numFmtId="0" fontId="1" fillId="9" borderId="30" xfId="0" applyFont="1" applyFill="1" applyBorder="1" applyAlignment="1" applyProtection="1">
      <alignment horizontal="center" vertical="center"/>
      <protection/>
    </xf>
    <xf numFmtId="180" fontId="1" fillId="9" borderId="31" xfId="0" applyNumberFormat="1" applyFont="1" applyFill="1" applyBorder="1" applyAlignment="1" applyProtection="1">
      <alignment horizontal="center" vertical="center"/>
      <protection/>
    </xf>
    <xf numFmtId="180" fontId="17" fillId="0" borderId="32" xfId="0" applyNumberFormat="1" applyFont="1" applyFill="1" applyBorder="1" applyAlignment="1" applyProtection="1">
      <alignment horizontal="left" vertical="center"/>
      <protection/>
    </xf>
    <xf numFmtId="0" fontId="16" fillId="7" borderId="2" xfId="0" applyFont="1" applyFill="1" applyBorder="1" applyAlignment="1" applyProtection="1">
      <alignment vertical="center"/>
      <protection/>
    </xf>
    <xf numFmtId="0" fontId="16" fillId="7" borderId="24" xfId="0" applyFont="1" applyFill="1" applyBorder="1" applyAlignment="1" applyProtection="1">
      <alignment vertical="center"/>
      <protection/>
    </xf>
    <xf numFmtId="180" fontId="1" fillId="9" borderId="30" xfId="0" applyNumberFormat="1" applyFont="1" applyFill="1" applyBorder="1" applyAlignment="1" applyProtection="1">
      <alignment horizontal="center" vertical="center"/>
      <protection/>
    </xf>
    <xf numFmtId="180" fontId="14" fillId="9" borderId="30" xfId="0" applyNumberFormat="1" applyFont="1" applyFill="1" applyBorder="1" applyAlignment="1" applyProtection="1">
      <alignment horizontal="left" vertical="center"/>
      <protection/>
    </xf>
    <xf numFmtId="0" fontId="16" fillId="7" borderId="16" xfId="0" applyFont="1" applyFill="1" applyBorder="1" applyAlignment="1" applyProtection="1">
      <alignment vertical="center"/>
      <protection/>
    </xf>
    <xf numFmtId="0" fontId="4" fillId="7" borderId="14" xfId="0" applyFont="1" applyFill="1" applyBorder="1" applyAlignment="1" applyProtection="1">
      <alignment horizontal="right" vertical="center"/>
      <protection/>
    </xf>
    <xf numFmtId="2" fontId="5" fillId="7" borderId="3" xfId="0" applyNumberFormat="1" applyFont="1" applyFill="1" applyBorder="1" applyAlignment="1" applyProtection="1">
      <alignment horizontal="center" vertical="center"/>
      <protection/>
    </xf>
    <xf numFmtId="180" fontId="5" fillId="7" borderId="3" xfId="0" applyNumberFormat="1" applyFont="1" applyFill="1" applyBorder="1" applyAlignment="1" applyProtection="1">
      <alignment horizontal="center" vertical="center"/>
      <protection/>
    </xf>
    <xf numFmtId="0" fontId="5" fillId="7" borderId="3" xfId="0" applyFont="1" applyFill="1" applyBorder="1" applyAlignment="1" applyProtection="1">
      <alignment horizontal="center" vertical="center"/>
      <protection/>
    </xf>
    <xf numFmtId="0" fontId="1" fillId="9" borderId="1" xfId="0" applyFont="1" applyFill="1" applyBorder="1" applyAlignment="1" applyProtection="1">
      <alignment vertical="center"/>
      <protection/>
    </xf>
    <xf numFmtId="0" fontId="2" fillId="9" borderId="1" xfId="0" applyFont="1" applyFill="1" applyBorder="1" applyAlignment="1" applyProtection="1">
      <alignment horizontal="left" vertical="center"/>
      <protection/>
    </xf>
    <xf numFmtId="2" fontId="1" fillId="10" borderId="0" xfId="0" applyNumberFormat="1" applyFont="1" applyFill="1" applyBorder="1" applyAlignment="1" applyProtection="1">
      <alignment horizontal="center" vertical="center"/>
      <protection locked="0"/>
    </xf>
    <xf numFmtId="1" fontId="11" fillId="7" borderId="1" xfId="0" applyNumberFormat="1" applyFont="1" applyFill="1" applyBorder="1" applyAlignment="1" applyProtection="1">
      <alignment horizontal="left" vertical="center"/>
      <protection/>
    </xf>
    <xf numFmtId="0" fontId="1" fillId="7" borderId="13" xfId="0" applyFont="1" applyFill="1" applyBorder="1" applyAlignment="1" applyProtection="1">
      <alignment horizontal="center" vertical="center"/>
      <protection/>
    </xf>
    <xf numFmtId="1" fontId="1" fillId="7" borderId="6" xfId="0" applyNumberFormat="1" applyFont="1" applyFill="1" applyBorder="1" applyAlignment="1" applyProtection="1">
      <alignment horizontal="left" vertical="center"/>
      <protection/>
    </xf>
    <xf numFmtId="0" fontId="1" fillId="7" borderId="13" xfId="0" applyFont="1" applyFill="1" applyBorder="1" applyAlignment="1" applyProtection="1">
      <alignment vertical="center"/>
      <protection/>
    </xf>
    <xf numFmtId="2" fontId="1" fillId="7" borderId="13" xfId="0" applyNumberFormat="1" applyFont="1" applyFill="1" applyBorder="1" applyAlignment="1" applyProtection="1">
      <alignment horizontal="right" vertical="center"/>
      <protection/>
    </xf>
    <xf numFmtId="180" fontId="1" fillId="9" borderId="1" xfId="0" applyNumberFormat="1" applyFont="1" applyFill="1" applyBorder="1" applyAlignment="1" applyProtection="1">
      <alignment horizontal="left" vertical="center"/>
      <protection/>
    </xf>
    <xf numFmtId="180" fontId="1" fillId="9" borderId="1" xfId="0" applyNumberFormat="1" applyFont="1" applyFill="1" applyBorder="1" applyAlignment="1" applyProtection="1">
      <alignment horizontal="right" vertical="center"/>
      <protection/>
    </xf>
    <xf numFmtId="0" fontId="2" fillId="9" borderId="0" xfId="0" applyFont="1" applyFill="1" applyBorder="1" applyAlignment="1" applyProtection="1">
      <alignment vertical="center"/>
      <protection/>
    </xf>
    <xf numFmtId="0" fontId="2" fillId="7" borderId="1" xfId="0" applyFont="1" applyFill="1" applyBorder="1" applyAlignment="1" applyProtection="1">
      <alignment vertical="center"/>
      <protection/>
    </xf>
    <xf numFmtId="180" fontId="2" fillId="9" borderId="15" xfId="0" applyNumberFormat="1" applyFont="1" applyFill="1" applyBorder="1" applyAlignment="1" applyProtection="1">
      <alignment horizontal="center" vertical="center"/>
      <protection/>
    </xf>
    <xf numFmtId="180" fontId="1" fillId="9" borderId="29" xfId="0" applyNumberFormat="1" applyFont="1" applyFill="1" applyBorder="1" applyAlignment="1" applyProtection="1">
      <alignment horizontal="center" vertical="center"/>
      <protection/>
    </xf>
    <xf numFmtId="0" fontId="1" fillId="7" borderId="12" xfId="0" applyFont="1" applyFill="1" applyBorder="1" applyAlignment="1" applyProtection="1">
      <alignment horizontal="center" vertical="center"/>
      <protection/>
    </xf>
    <xf numFmtId="0" fontId="1" fillId="7" borderId="0" xfId="0" applyNumberFormat="1" applyFont="1" applyFill="1" applyAlignment="1" applyProtection="1">
      <alignment horizontal="center" vertical="center"/>
      <protection/>
    </xf>
    <xf numFmtId="180" fontId="1" fillId="7" borderId="1" xfId="0" applyNumberFormat="1" applyFont="1" applyFill="1" applyBorder="1" applyAlignment="1" applyProtection="1">
      <alignment horizontal="right" vertical="center"/>
      <protection/>
    </xf>
    <xf numFmtId="0" fontId="1" fillId="7" borderId="2" xfId="0" applyFont="1" applyFill="1" applyBorder="1" applyAlignment="1" applyProtection="1">
      <alignment horizontal="left" vertical="center"/>
      <protection/>
    </xf>
    <xf numFmtId="0" fontId="4" fillId="7" borderId="6" xfId="0" applyFont="1" applyFill="1" applyBorder="1" applyAlignment="1" applyProtection="1">
      <alignment horizontal="center" vertical="center"/>
      <protection/>
    </xf>
    <xf numFmtId="0" fontId="4" fillId="7" borderId="1" xfId="0" applyFont="1" applyFill="1" applyBorder="1" applyAlignment="1" applyProtection="1">
      <alignment horizontal="center" vertical="center"/>
      <protection/>
    </xf>
    <xf numFmtId="184" fontId="1" fillId="3" borderId="1" xfId="0" applyNumberFormat="1" applyFont="1" applyFill="1" applyBorder="1" applyAlignment="1" applyProtection="1">
      <alignment horizontal="right" vertical="center"/>
      <protection locked="0"/>
    </xf>
    <xf numFmtId="0" fontId="1" fillId="7" borderId="8" xfId="0" applyFont="1" applyFill="1" applyBorder="1" applyAlignment="1" applyProtection="1">
      <alignment horizontal="right" vertical="center"/>
      <protection/>
    </xf>
    <xf numFmtId="0" fontId="3" fillId="7" borderId="0" xfId="0" applyFont="1" applyFill="1" applyAlignment="1" applyProtection="1">
      <alignment horizontal="left" vertical="center"/>
      <protection/>
    </xf>
    <xf numFmtId="180" fontId="1" fillId="2" borderId="0" xfId="0" applyNumberFormat="1" applyFont="1" applyFill="1" applyBorder="1" applyAlignment="1" applyProtection="1">
      <alignment horizontal="center" vertical="center"/>
      <protection locked="0"/>
    </xf>
    <xf numFmtId="181" fontId="3" fillId="5" borderId="4" xfId="0" applyNumberFormat="1" applyFont="1" applyFill="1" applyBorder="1" applyAlignment="1" applyProtection="1">
      <alignment horizontal="center" vertical="center"/>
      <protection/>
    </xf>
    <xf numFmtId="0" fontId="3" fillId="7" borderId="2" xfId="0" applyFont="1" applyFill="1" applyBorder="1" applyAlignment="1" applyProtection="1">
      <alignment vertical="center"/>
      <protection/>
    </xf>
    <xf numFmtId="181" fontId="4" fillId="7" borderId="2" xfId="0" applyNumberFormat="1" applyFont="1" applyFill="1" applyBorder="1" applyAlignment="1" applyProtection="1">
      <alignment horizontal="center" vertical="center"/>
      <protection/>
    </xf>
    <xf numFmtId="2" fontId="1" fillId="7" borderId="21" xfId="0" applyNumberFormat="1" applyFont="1" applyFill="1" applyBorder="1" applyAlignment="1" applyProtection="1">
      <alignment horizontal="center" vertical="center"/>
      <protection/>
    </xf>
    <xf numFmtId="1" fontId="19" fillId="7" borderId="20" xfId="0" applyNumberFormat="1" applyFont="1" applyFill="1" applyBorder="1" applyAlignment="1" applyProtection="1">
      <alignment horizontal="center" vertical="center"/>
      <protection/>
    </xf>
    <xf numFmtId="1" fontId="19" fillId="7" borderId="18" xfId="0" applyNumberFormat="1" applyFont="1" applyFill="1" applyBorder="1" applyAlignment="1" applyProtection="1">
      <alignment horizontal="center" vertical="center"/>
      <protection/>
    </xf>
    <xf numFmtId="1" fontId="19" fillId="7" borderId="6" xfId="0" applyNumberFormat="1" applyFont="1" applyFill="1" applyBorder="1" applyAlignment="1" applyProtection="1">
      <alignment horizontal="center" vertical="center"/>
      <protection/>
    </xf>
    <xf numFmtId="0" fontId="20" fillId="7" borderId="20" xfId="0" applyFont="1" applyFill="1" applyBorder="1" applyAlignment="1" applyProtection="1">
      <alignment horizontal="center" vertical="center"/>
      <protection/>
    </xf>
    <xf numFmtId="0" fontId="20" fillId="7" borderId="18" xfId="0" applyFont="1" applyFill="1" applyBorder="1" applyAlignment="1" applyProtection="1">
      <alignment horizontal="center" vertical="center"/>
      <protection/>
    </xf>
    <xf numFmtId="0" fontId="20" fillId="7" borderId="6" xfId="0" applyFont="1" applyFill="1" applyBorder="1" applyAlignment="1" applyProtection="1">
      <alignment horizontal="center" vertical="center"/>
      <protection/>
    </xf>
    <xf numFmtId="184" fontId="1" fillId="7" borderId="2" xfId="0" applyNumberFormat="1" applyFont="1" applyFill="1" applyBorder="1" applyAlignment="1" applyProtection="1">
      <alignment horizontal="right" vertical="center"/>
      <protection/>
    </xf>
    <xf numFmtId="0" fontId="1" fillId="7" borderId="29" xfId="0" applyFont="1" applyFill="1" applyBorder="1" applyAlignment="1" applyProtection="1">
      <alignment horizontal="right" vertical="center"/>
      <protection/>
    </xf>
    <xf numFmtId="2" fontId="21" fillId="7" borderId="0" xfId="0" applyNumberFormat="1" applyFont="1" applyFill="1" applyAlignment="1" applyProtection="1">
      <alignment horizontal="left" vertical="center"/>
      <protection/>
    </xf>
    <xf numFmtId="180" fontId="18" fillId="7" borderId="33" xfId="0" applyNumberFormat="1" applyFont="1" applyFill="1" applyBorder="1" applyAlignment="1" applyProtection="1">
      <alignment horizontal="left" vertical="center"/>
      <protection/>
    </xf>
    <xf numFmtId="180" fontId="18" fillId="0" borderId="34" xfId="0" applyNumberFormat="1" applyFont="1" applyFill="1" applyBorder="1" applyAlignment="1" applyProtection="1">
      <alignment horizontal="left" vertical="center"/>
      <protection/>
    </xf>
    <xf numFmtId="181" fontId="3" fillId="4" borderId="18" xfId="0" applyNumberFormat="1" applyFont="1" applyFill="1" applyBorder="1" applyAlignment="1" applyProtection="1">
      <alignment horizontal="center" vertical="center"/>
      <protection/>
    </xf>
    <xf numFmtId="180" fontId="4" fillId="7" borderId="35" xfId="0" applyNumberFormat="1" applyFont="1" applyFill="1" applyBorder="1" applyAlignment="1" applyProtection="1">
      <alignment horizontal="center" vertical="center"/>
      <protection/>
    </xf>
    <xf numFmtId="1" fontId="1" fillId="11" borderId="2" xfId="0" applyNumberFormat="1" applyFont="1" applyFill="1" applyBorder="1" applyAlignment="1" applyProtection="1">
      <alignment horizontal="center" vertical="center"/>
      <protection/>
    </xf>
    <xf numFmtId="1" fontId="1" fillId="11" borderId="0" xfId="0" applyNumberFormat="1" applyFont="1" applyFill="1" applyBorder="1" applyAlignment="1" applyProtection="1">
      <alignment horizontal="center" vertical="center"/>
      <protection/>
    </xf>
    <xf numFmtId="0" fontId="1" fillId="7" borderId="36" xfId="0" applyFont="1" applyFill="1" applyBorder="1" applyAlignment="1" applyProtection="1">
      <alignment horizontal="center" vertical="center"/>
      <protection/>
    </xf>
    <xf numFmtId="0" fontId="1" fillId="7" borderId="5" xfId="0" applyFont="1" applyFill="1" applyBorder="1" applyAlignment="1" applyProtection="1">
      <alignment horizontal="center" vertical="center"/>
      <protection/>
    </xf>
    <xf numFmtId="183" fontId="1" fillId="7" borderId="0" xfId="0" applyNumberFormat="1" applyFont="1" applyFill="1" applyAlignment="1" applyProtection="1">
      <alignment horizontal="right" vertical="center"/>
      <protection/>
    </xf>
    <xf numFmtId="0" fontId="2" fillId="9" borderId="9" xfId="0" applyFont="1" applyFill="1" applyBorder="1" applyAlignment="1" applyProtection="1">
      <alignment vertical="center"/>
      <protection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right" vertical="center"/>
      <protection/>
    </xf>
    <xf numFmtId="0" fontId="2" fillId="7" borderId="0" xfId="0" applyFont="1" applyFill="1" applyBorder="1" applyAlignment="1" applyProtection="1">
      <alignment horizontal="left" vertical="center"/>
      <protection/>
    </xf>
    <xf numFmtId="180" fontId="1" fillId="4" borderId="3" xfId="0" applyNumberFormat="1" applyFont="1" applyFill="1" applyBorder="1" applyAlignment="1" applyProtection="1">
      <alignment horizontal="right" vertical="center"/>
      <protection/>
    </xf>
    <xf numFmtId="180" fontId="4" fillId="4" borderId="3" xfId="0" applyNumberFormat="1" applyFont="1" applyFill="1" applyBorder="1" applyAlignment="1" applyProtection="1">
      <alignment horizontal="right" vertical="center"/>
      <protection/>
    </xf>
    <xf numFmtId="180" fontId="4" fillId="4" borderId="2" xfId="0" applyNumberFormat="1" applyFont="1" applyFill="1" applyBorder="1" applyAlignment="1" applyProtection="1">
      <alignment horizontal="right" vertical="center"/>
      <protection/>
    </xf>
    <xf numFmtId="2" fontId="4" fillId="7" borderId="3" xfId="0" applyNumberFormat="1" applyFont="1" applyFill="1" applyBorder="1" applyAlignment="1" applyProtection="1">
      <alignment horizontal="center" vertical="center"/>
      <protection/>
    </xf>
    <xf numFmtId="180" fontId="4" fillId="7" borderId="3" xfId="0" applyNumberFormat="1" applyFont="1" applyFill="1" applyBorder="1" applyAlignment="1" applyProtection="1">
      <alignment horizontal="center" vertical="center"/>
      <protection/>
    </xf>
    <xf numFmtId="181" fontId="4" fillId="7" borderId="3" xfId="0" applyNumberFormat="1" applyFont="1" applyFill="1" applyBorder="1" applyAlignment="1" applyProtection="1">
      <alignment horizontal="center" vertical="center"/>
      <protection/>
    </xf>
    <xf numFmtId="1" fontId="4" fillId="7" borderId="3" xfId="0" applyNumberFormat="1" applyFont="1" applyFill="1" applyBorder="1" applyAlignment="1" applyProtection="1">
      <alignment horizontal="center" vertical="center"/>
      <protection/>
    </xf>
    <xf numFmtId="180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7" borderId="37" xfId="0" applyFont="1" applyFill="1" applyBorder="1" applyAlignment="1" applyProtection="1">
      <alignment vertical="center"/>
      <protection/>
    </xf>
    <xf numFmtId="0" fontId="1" fillId="7" borderId="38" xfId="0" applyFont="1" applyFill="1" applyBorder="1" applyAlignment="1" applyProtection="1">
      <alignment horizontal="center" vertical="center"/>
      <protection/>
    </xf>
    <xf numFmtId="1" fontId="4" fillId="7" borderId="19" xfId="0" applyNumberFormat="1" applyFont="1" applyFill="1" applyBorder="1" applyAlignment="1" applyProtection="1">
      <alignment horizontal="center" vertical="center"/>
      <protection/>
    </xf>
    <xf numFmtId="180" fontId="4" fillId="7" borderId="2" xfId="0" applyNumberFormat="1" applyFont="1" applyFill="1" applyBorder="1" applyAlignment="1" applyProtection="1">
      <alignment horizontal="center" vertical="center"/>
      <protection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3" fillId="4" borderId="18" xfId="0" applyNumberFormat="1" applyFont="1" applyFill="1" applyBorder="1" applyAlignment="1" applyProtection="1">
      <alignment horizontal="center" vertical="center"/>
      <protection/>
    </xf>
    <xf numFmtId="2" fontId="4" fillId="5" borderId="28" xfId="0" applyNumberFormat="1" applyFont="1" applyFill="1" applyBorder="1" applyAlignment="1" applyProtection="1">
      <alignment horizontal="center" vertical="center"/>
      <protection/>
    </xf>
    <xf numFmtId="2" fontId="4" fillId="5" borderId="40" xfId="0" applyNumberFormat="1" applyFont="1" applyFill="1" applyBorder="1" applyAlignment="1" applyProtection="1">
      <alignment horizontal="center" vertical="center"/>
      <protection/>
    </xf>
    <xf numFmtId="0" fontId="12" fillId="7" borderId="41" xfId="0" applyFont="1" applyFill="1" applyBorder="1" applyAlignment="1" applyProtection="1">
      <alignment horizontal="right" vertical="center"/>
      <protection/>
    </xf>
    <xf numFmtId="180" fontId="2" fillId="9" borderId="42" xfId="0" applyNumberFormat="1" applyFont="1" applyFill="1" applyBorder="1" applyAlignment="1" applyProtection="1">
      <alignment horizontal="left" vertical="center"/>
      <protection/>
    </xf>
    <xf numFmtId="180" fontId="18" fillId="0" borderId="43" xfId="0" applyNumberFormat="1" applyFont="1" applyFill="1" applyBorder="1" applyAlignment="1" applyProtection="1">
      <alignment horizontal="right" vertical="center"/>
      <protection/>
    </xf>
    <xf numFmtId="0" fontId="1" fillId="7" borderId="19" xfId="0" applyFont="1" applyFill="1" applyBorder="1" applyAlignment="1" applyProtection="1">
      <alignment vertical="center"/>
      <protection/>
    </xf>
    <xf numFmtId="0" fontId="1" fillId="7" borderId="32" xfId="0" applyFont="1" applyFill="1" applyBorder="1" applyAlignment="1" applyProtection="1">
      <alignment vertical="center"/>
      <protection/>
    </xf>
    <xf numFmtId="1" fontId="4" fillId="7" borderId="0" xfId="0" applyNumberFormat="1" applyFont="1" applyFill="1" applyAlignment="1" applyProtection="1">
      <alignment horizontal="center" vertical="center"/>
      <protection/>
    </xf>
    <xf numFmtId="0" fontId="1" fillId="9" borderId="1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5">
    <dxf>
      <font>
        <color rgb="FF0000FF"/>
      </font>
      <border/>
    </dxf>
    <dxf>
      <font>
        <b/>
        <i val="0"/>
        <color rgb="FFFF0000"/>
      </font>
      <border/>
    </dxf>
    <dxf>
      <font>
        <color rgb="FFFF00FF"/>
      </font>
      <border/>
    </dxf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0"/>
  <sheetViews>
    <sheetView tabSelected="1" zoomScale="130" zoomScaleNormal="130" workbookViewId="0" topLeftCell="A117">
      <selection activeCell="L141" sqref="L141"/>
    </sheetView>
  </sheetViews>
  <sheetFormatPr defaultColWidth="11.421875" defaultRowHeight="12" customHeight="1"/>
  <cols>
    <col min="1" max="1" width="3.7109375" style="15" customWidth="1"/>
    <col min="2" max="3" width="14.7109375" style="15" customWidth="1"/>
    <col min="4" max="11" width="7.7109375" style="15" customWidth="1"/>
    <col min="12" max="16384" width="11.57421875" style="15" customWidth="1"/>
  </cols>
  <sheetData>
    <row r="1" spans="1:11" ht="12" customHeight="1">
      <c r="A1" s="14">
        <v>1</v>
      </c>
      <c r="B1" s="207" t="s">
        <v>272</v>
      </c>
      <c r="C1" s="207"/>
      <c r="D1" s="208" t="s">
        <v>18</v>
      </c>
      <c r="E1" s="209" t="s">
        <v>19</v>
      </c>
      <c r="F1" s="208" t="s">
        <v>20</v>
      </c>
      <c r="G1" s="281" t="s">
        <v>366</v>
      </c>
      <c r="H1" s="210"/>
      <c r="I1" s="208" t="s">
        <v>18</v>
      </c>
      <c r="J1" s="209" t="s">
        <v>19</v>
      </c>
      <c r="K1" s="208" t="s">
        <v>20</v>
      </c>
    </row>
    <row r="2" spans="1:11" ht="12" customHeight="1">
      <c r="A2" s="14">
        <v>2</v>
      </c>
      <c r="C2" s="32" t="s">
        <v>360</v>
      </c>
      <c r="D2" s="117">
        <v>1</v>
      </c>
      <c r="E2" s="203">
        <v>1</v>
      </c>
      <c r="F2" s="117">
        <v>1</v>
      </c>
      <c r="G2" s="136" t="s">
        <v>379</v>
      </c>
      <c r="I2" s="4">
        <v>0</v>
      </c>
      <c r="J2" s="205">
        <v>0</v>
      </c>
      <c r="K2" s="4">
        <v>0</v>
      </c>
    </row>
    <row r="3" spans="1:11" ht="12" customHeight="1">
      <c r="A3" s="14">
        <v>3</v>
      </c>
      <c r="B3" s="211" t="s">
        <v>316</v>
      </c>
      <c r="C3" s="201"/>
      <c r="D3" s="32"/>
      <c r="E3" s="32" t="s">
        <v>372</v>
      </c>
      <c r="F3" s="115">
        <f>D2+E2+F2</f>
        <v>3</v>
      </c>
      <c r="G3" s="136" t="s">
        <v>339</v>
      </c>
      <c r="I3" s="102"/>
      <c r="J3" s="102"/>
      <c r="K3" s="206" t="s">
        <v>380</v>
      </c>
    </row>
    <row r="4" spans="1:11" ht="12" customHeight="1">
      <c r="A4" s="14">
        <v>4</v>
      </c>
      <c r="C4" s="32" t="s">
        <v>365</v>
      </c>
      <c r="D4" s="132">
        <f>IF((D2=1),(D61),0)</f>
        <v>50</v>
      </c>
      <c r="E4" s="204">
        <f>IF((E2=1),(D65),0)</f>
        <v>50</v>
      </c>
      <c r="F4" s="71">
        <f>IF((F2=1),(D69),0)</f>
        <v>50</v>
      </c>
      <c r="G4" s="137"/>
      <c r="H4" s="83" t="s">
        <v>381</v>
      </c>
      <c r="I4" s="282">
        <v>1.7</v>
      </c>
      <c r="J4" s="283">
        <v>1.7</v>
      </c>
      <c r="K4" s="282">
        <v>1.7</v>
      </c>
    </row>
    <row r="5" spans="1:11" ht="12" customHeight="1">
      <c r="A5" s="14">
        <v>5</v>
      </c>
      <c r="C5" s="83" t="s">
        <v>334</v>
      </c>
      <c r="D5" s="112">
        <v>20</v>
      </c>
      <c r="E5" s="199" t="s">
        <v>361</v>
      </c>
      <c r="F5" s="200">
        <f>D4+E4+F4</f>
        <v>150</v>
      </c>
      <c r="G5" s="123"/>
      <c r="H5" s="95" t="s">
        <v>382</v>
      </c>
      <c r="I5" s="30">
        <f>D119</f>
        <v>196.29909152447277</v>
      </c>
      <c r="J5" s="59">
        <f>E119</f>
        <v>196.29909152447277</v>
      </c>
      <c r="K5" s="30">
        <f>F119</f>
        <v>196.29909152447277</v>
      </c>
    </row>
    <row r="6" spans="1:11" ht="12" customHeight="1">
      <c r="A6" s="14">
        <v>6</v>
      </c>
      <c r="B6" s="202" t="s">
        <v>377</v>
      </c>
      <c r="C6" s="303" t="s">
        <v>378</v>
      </c>
      <c r="D6" s="301">
        <f>D89</f>
        <v>0.31622776601683794</v>
      </c>
      <c r="E6" s="301">
        <f>D101</f>
        <v>0.6324555320336759</v>
      </c>
      <c r="F6" s="302">
        <f>D113</f>
        <v>0.9486832980505138</v>
      </c>
      <c r="G6" s="123"/>
      <c r="H6" s="95" t="s">
        <v>383</v>
      </c>
      <c r="I6" s="278">
        <f>I5*SQRT(3)</f>
        <v>340</v>
      </c>
      <c r="J6" s="278">
        <f>J5*SQRT(3)</f>
        <v>340</v>
      </c>
      <c r="K6" s="279">
        <f>K5*SQRT(3)</f>
        <v>340</v>
      </c>
    </row>
    <row r="7" spans="1:12" ht="12" customHeight="1">
      <c r="A7" s="14">
        <v>7</v>
      </c>
      <c r="B7" s="212" t="s">
        <v>333</v>
      </c>
      <c r="C7" s="212"/>
      <c r="D7" s="213"/>
      <c r="E7" s="213"/>
      <c r="F7" s="213"/>
      <c r="G7" s="213"/>
      <c r="H7" s="213"/>
      <c r="I7" s="213"/>
      <c r="J7" s="214"/>
      <c r="K7" s="213"/>
      <c r="L7" s="116"/>
    </row>
    <row r="8" spans="1:12" ht="12" customHeight="1">
      <c r="A8" s="14">
        <v>8</v>
      </c>
      <c r="C8" s="32" t="s">
        <v>178</v>
      </c>
      <c r="D8" s="2">
        <v>0.6</v>
      </c>
      <c r="E8" s="5">
        <v>1</v>
      </c>
      <c r="G8" s="142" t="s">
        <v>160</v>
      </c>
      <c r="H8" s="260" t="s">
        <v>267</v>
      </c>
      <c r="K8" s="217" t="s">
        <v>367</v>
      </c>
      <c r="L8" s="32"/>
    </row>
    <row r="9" spans="1:12" ht="12" customHeight="1">
      <c r="A9" s="14">
        <v>9</v>
      </c>
      <c r="C9" s="32" t="s">
        <v>273</v>
      </c>
      <c r="D9" s="20">
        <f>D8*(D4+E4+F4)</f>
        <v>90</v>
      </c>
      <c r="E9" s="39" t="s">
        <v>28</v>
      </c>
      <c r="G9" s="142">
        <f>(D15+E15+F15)/(D4+E4+F4)</f>
        <v>0.5796134822450559</v>
      </c>
      <c r="H9" s="261">
        <f>G74</f>
        <v>150</v>
      </c>
      <c r="I9" s="15" t="s">
        <v>320</v>
      </c>
      <c r="J9" s="104"/>
      <c r="K9" s="218" t="s">
        <v>86</v>
      </c>
      <c r="L9" s="32"/>
    </row>
    <row r="10" spans="1:11" ht="12" customHeight="1">
      <c r="A10" s="14">
        <v>10</v>
      </c>
      <c r="C10" s="95" t="s">
        <v>374</v>
      </c>
      <c r="D10" s="259">
        <f>(1.732*(G26^2))/(D9*D13*D8)</f>
        <v>4.643659908820708</v>
      </c>
      <c r="E10" s="70"/>
      <c r="F10" s="70"/>
      <c r="G10" s="70"/>
      <c r="H10" s="70"/>
      <c r="I10" s="70"/>
      <c r="J10" s="216"/>
      <c r="K10" s="219">
        <v>32</v>
      </c>
    </row>
    <row r="11" spans="1:11" ht="12" customHeight="1">
      <c r="A11" s="14">
        <v>11</v>
      </c>
      <c r="B11" s="27" t="s">
        <v>179</v>
      </c>
      <c r="C11" s="27"/>
      <c r="D11" s="15" t="s">
        <v>0</v>
      </c>
      <c r="E11" s="100" t="s">
        <v>362</v>
      </c>
      <c r="F11" s="100" t="s">
        <v>230</v>
      </c>
      <c r="G11" s="100" t="s">
        <v>231</v>
      </c>
      <c r="H11" s="100" t="s">
        <v>66</v>
      </c>
      <c r="I11" s="100" t="s">
        <v>77</v>
      </c>
      <c r="K11" s="52" t="s">
        <v>66</v>
      </c>
    </row>
    <row r="12" spans="1:12" ht="12" customHeight="1">
      <c r="A12" s="14">
        <v>12</v>
      </c>
      <c r="C12" s="32" t="s">
        <v>322</v>
      </c>
      <c r="D12" s="2">
        <v>4.3</v>
      </c>
      <c r="E12" s="20">
        <f>E13</f>
        <v>30.683417108975817</v>
      </c>
      <c r="F12" s="22">
        <f>COS((E12)/180*PI())*D12</f>
        <v>3.6980000000000004</v>
      </c>
      <c r="G12" s="22">
        <f>SIN((E12)/180*PI())*D12</f>
        <v>2.1942643414137684</v>
      </c>
      <c r="H12" s="25">
        <f>COS((E12)/180*PI())</f>
        <v>0.8600000000000001</v>
      </c>
      <c r="I12" s="25">
        <f>SIN((E12)/180*PI())</f>
        <v>0.5102940328869229</v>
      </c>
      <c r="K12" s="56">
        <f>COS((K10)/180*PI())</f>
        <v>0.848048096156426</v>
      </c>
      <c r="L12" s="39"/>
    </row>
    <row r="13" spans="1:8" ht="12" customHeight="1">
      <c r="A13" s="14">
        <v>13</v>
      </c>
      <c r="C13" s="32" t="s">
        <v>323</v>
      </c>
      <c r="D13" s="258">
        <v>0.86</v>
      </c>
      <c r="E13" s="20">
        <f>ACOS(D13)*180/PI()</f>
        <v>30.683417108975817</v>
      </c>
      <c r="F13" s="34" t="str">
        <f>IF(E8=1,"induktiv","kapazitiv")</f>
        <v>induktiv</v>
      </c>
      <c r="G13" s="25"/>
      <c r="H13" s="25"/>
    </row>
    <row r="14" spans="1:11" ht="12" customHeight="1">
      <c r="A14" s="14">
        <v>14</v>
      </c>
      <c r="B14" s="246" t="s">
        <v>318</v>
      </c>
      <c r="C14" s="215"/>
      <c r="D14" s="140" t="s">
        <v>18</v>
      </c>
      <c r="E14" s="140" t="s">
        <v>19</v>
      </c>
      <c r="F14" s="140" t="s">
        <v>20</v>
      </c>
      <c r="G14" s="101" t="s">
        <v>163</v>
      </c>
      <c r="H14" s="110"/>
      <c r="I14" s="140" t="s">
        <v>18</v>
      </c>
      <c r="J14" s="140" t="s">
        <v>19</v>
      </c>
      <c r="K14" s="91" t="s">
        <v>20</v>
      </c>
    </row>
    <row r="15" spans="1:11" ht="12" customHeight="1">
      <c r="A15" s="14">
        <v>15</v>
      </c>
      <c r="C15" s="105" t="s">
        <v>244</v>
      </c>
      <c r="D15" s="141">
        <f>D213</f>
        <v>35.808418395709985</v>
      </c>
      <c r="E15" s="141">
        <f>D227</f>
        <v>27.93105132285572</v>
      </c>
      <c r="F15" s="141">
        <f>D242</f>
        <v>23.20255261819268</v>
      </c>
      <c r="G15" s="46">
        <f>D15+E15+F15</f>
        <v>86.94202233675838</v>
      </c>
      <c r="H15" s="40" t="s">
        <v>331</v>
      </c>
      <c r="I15" s="59">
        <f>D206</f>
        <v>1033.7</v>
      </c>
      <c r="J15" s="59">
        <f>D220</f>
        <v>806.3</v>
      </c>
      <c r="K15" s="220">
        <f>D235</f>
        <v>669.8</v>
      </c>
    </row>
    <row r="16" spans="1:11" ht="12" customHeight="1">
      <c r="A16" s="14">
        <v>16</v>
      </c>
      <c r="C16" s="105" t="s">
        <v>245</v>
      </c>
      <c r="D16" s="142">
        <f>D4/(D4+E4+F4)</f>
        <v>0.3333333333333333</v>
      </c>
      <c r="E16" s="142">
        <f>E4/(D4+E4+F4)</f>
        <v>0.3333333333333333</v>
      </c>
      <c r="F16" s="142">
        <f>F4/(D4+E4+F4)</f>
        <v>0.3333333333333333</v>
      </c>
      <c r="H16" s="40" t="s">
        <v>332</v>
      </c>
      <c r="I16" s="59">
        <f>G206</f>
        <v>-625.8899999999999</v>
      </c>
      <c r="J16" s="59">
        <f>G220</f>
        <v>-457.3199999999999</v>
      </c>
      <c r="K16" s="220">
        <f>G235</f>
        <v>-361.76999999999987</v>
      </c>
    </row>
    <row r="17" spans="1:11" ht="12" customHeight="1">
      <c r="A17" s="14">
        <v>17</v>
      </c>
      <c r="C17" s="105" t="s">
        <v>246</v>
      </c>
      <c r="D17" s="142">
        <f>D15/(D15+E15+F15)</f>
        <v>0.4118654872900337</v>
      </c>
      <c r="E17" s="142">
        <f>E15/(E15+F15+D15)</f>
        <v>0.3212606582196639</v>
      </c>
      <c r="F17" s="142">
        <f>F15/(F15+D15+E15)</f>
        <v>0.26687385449030243</v>
      </c>
      <c r="G17" s="21"/>
      <c r="H17" s="32" t="s">
        <v>66</v>
      </c>
      <c r="I17" s="184">
        <f>IF((K214=1),"#",K214)</f>
        <v>0.8306295744146351</v>
      </c>
      <c r="J17" s="184">
        <f>IF((K228=1),"#",K228)</f>
        <v>0.8499142967240668</v>
      </c>
      <c r="K17" s="56">
        <f>IF((K243=-1),"-",K243)</f>
        <v>0.862304499559014</v>
      </c>
    </row>
    <row r="18" spans="1:7" ht="12" customHeight="1">
      <c r="A18" s="14">
        <v>18</v>
      </c>
      <c r="C18" s="105" t="s">
        <v>327</v>
      </c>
      <c r="D18" s="262">
        <f>K208</f>
        <v>0.7161683679141997</v>
      </c>
      <c r="E18" s="262">
        <f>K222</f>
        <v>0.5586210264571144</v>
      </c>
      <c r="F18" s="262">
        <f>K237</f>
        <v>0.4640510523638536</v>
      </c>
      <c r="G18" s="21"/>
    </row>
    <row r="19" spans="1:11" ht="12" customHeight="1">
      <c r="A19" s="14">
        <v>19</v>
      </c>
      <c r="B19" s="212" t="s">
        <v>375</v>
      </c>
      <c r="C19" s="212"/>
      <c r="D19" s="221"/>
      <c r="E19" s="221"/>
      <c r="F19" s="222"/>
      <c r="G19" s="222"/>
      <c r="H19" s="247"/>
      <c r="I19" s="222" t="s">
        <v>340</v>
      </c>
      <c r="J19" s="214"/>
      <c r="K19" s="248"/>
    </row>
    <row r="20" spans="1:11" ht="12" customHeight="1">
      <c r="A20" s="14">
        <v>20</v>
      </c>
      <c r="B20" s="271">
        <f>IF((D2+E2+F2+I2+J2+K2=3),"","geänderter Betriebszustand!")</f>
      </c>
      <c r="C20" s="133"/>
      <c r="D20" s="143" t="s">
        <v>18</v>
      </c>
      <c r="E20" s="144" t="s">
        <v>19</v>
      </c>
      <c r="F20" s="52" t="s">
        <v>20</v>
      </c>
      <c r="G20" s="125" t="s">
        <v>268</v>
      </c>
      <c r="H20" s="143" t="s">
        <v>18</v>
      </c>
      <c r="I20" s="144" t="s">
        <v>19</v>
      </c>
      <c r="J20" s="52" t="s">
        <v>20</v>
      </c>
      <c r="K20" s="125" t="s">
        <v>268</v>
      </c>
    </row>
    <row r="21" spans="1:11" ht="12" customHeight="1">
      <c r="A21" s="14">
        <v>21</v>
      </c>
      <c r="C21" s="95" t="s">
        <v>319</v>
      </c>
      <c r="D21" s="263" t="str">
        <f>IF((D2=0),"AUS","ein")</f>
        <v>ein</v>
      </c>
      <c r="E21" s="264" t="str">
        <f>IF((E2=0),"AUS","ein")</f>
        <v>ein</v>
      </c>
      <c r="F21" s="265" t="str">
        <f>IF((F2=0),"AUS","ein")</f>
        <v>ein</v>
      </c>
      <c r="G21" s="135">
        <f>D192/1000</f>
        <v>18.683587629762116</v>
      </c>
      <c r="H21" s="266" t="s">
        <v>315</v>
      </c>
      <c r="I21" s="267" t="s">
        <v>315</v>
      </c>
      <c r="J21" s="268" t="s">
        <v>315</v>
      </c>
      <c r="K21" s="122">
        <v>18.683587629762116</v>
      </c>
    </row>
    <row r="22" spans="1:11" ht="12" customHeight="1">
      <c r="A22" s="14">
        <v>22</v>
      </c>
      <c r="C22" s="305" t="str">
        <f>IF((D2+E2+F2)=3,"keine Änderung; Ausgangszustand der Trafos","Transformatoranzahl geändert")</f>
        <v>keine Änderung; Ausgangszustand der Trafos</v>
      </c>
      <c r="D22" s="306"/>
      <c r="E22" s="150"/>
      <c r="F22" s="104"/>
      <c r="G22" s="128" t="s">
        <v>250</v>
      </c>
      <c r="H22" s="225"/>
      <c r="I22" s="145"/>
      <c r="J22" s="51"/>
      <c r="K22" s="256" t="s">
        <v>371</v>
      </c>
    </row>
    <row r="23" spans="1:11" ht="12" customHeight="1">
      <c r="A23" s="14">
        <v>23</v>
      </c>
      <c r="C23" s="83" t="s">
        <v>343</v>
      </c>
      <c r="D23" s="146">
        <f>I2</f>
        <v>0</v>
      </c>
      <c r="E23" s="147">
        <f>J2</f>
        <v>0</v>
      </c>
      <c r="F23" s="148">
        <f>K2</f>
        <v>0</v>
      </c>
      <c r="G23" s="197">
        <f>(G21-K21)</f>
        <v>0</v>
      </c>
      <c r="H23" s="160">
        <v>0</v>
      </c>
      <c r="I23" s="147">
        <v>0</v>
      </c>
      <c r="J23" s="147">
        <v>0</v>
      </c>
      <c r="K23" s="135">
        <f>E61-G21</f>
        <v>1.3164123702378845</v>
      </c>
    </row>
    <row r="24" spans="1:11" ht="12" customHeight="1">
      <c r="A24" s="14">
        <v>24</v>
      </c>
      <c r="C24" s="305" t="str">
        <f>IF((I2+J2+K2)=0,"im Ausgangszustand","geänderte Stufenstellung(en)")</f>
        <v>im Ausgangszustand</v>
      </c>
      <c r="D24" s="307"/>
      <c r="E24" s="149"/>
      <c r="F24" s="150"/>
      <c r="G24" s="249" t="s">
        <v>232</v>
      </c>
      <c r="H24" s="225"/>
      <c r="I24" s="145"/>
      <c r="J24" s="51"/>
      <c r="K24" s="125" t="s">
        <v>232</v>
      </c>
    </row>
    <row r="25" spans="1:11" ht="12" customHeight="1">
      <c r="A25" s="14">
        <v>25</v>
      </c>
      <c r="C25" s="32" t="s">
        <v>237</v>
      </c>
      <c r="D25" s="151">
        <f>TRUNC((D121),3)</f>
        <v>11.547</v>
      </c>
      <c r="E25" s="152">
        <f>TRUNC((E121),3)</f>
        <v>11.547</v>
      </c>
      <c r="F25" s="153">
        <f>TRUNC((F121),3)</f>
        <v>11.547</v>
      </c>
      <c r="G25" s="126">
        <f>(D25+E25+F25)/F3</f>
        <v>11.547000000000002</v>
      </c>
      <c r="H25" s="161">
        <v>11.547</v>
      </c>
      <c r="I25" s="162">
        <v>11.547</v>
      </c>
      <c r="J25" s="163">
        <v>11.547</v>
      </c>
      <c r="K25" s="126">
        <f>(H25+I25+J25)/3</f>
        <v>11.547000000000002</v>
      </c>
    </row>
    <row r="26" spans="1:11" ht="12" customHeight="1">
      <c r="A26" s="14">
        <v>26</v>
      </c>
      <c r="C26" s="33" t="s">
        <v>238</v>
      </c>
      <c r="D26" s="154">
        <f>IF((D2=1),((D182/1000)*D2),0)</f>
        <v>11.043714600025075</v>
      </c>
      <c r="E26" s="155">
        <f>IF((E2=1),((D184/1000)*E2),0)</f>
        <v>11.174071564958197</v>
      </c>
      <c r="F26" s="156">
        <f>IF((F2=1),((D186/1000)*F2),0)</f>
        <v>11.257447652746453</v>
      </c>
      <c r="G26" s="126">
        <f>(D26+E26+F26)/F3</f>
        <v>11.158411272576577</v>
      </c>
      <c r="H26" s="164">
        <v>11.043714600025075</v>
      </c>
      <c r="I26" s="165">
        <v>11.174071564958197</v>
      </c>
      <c r="J26" s="166">
        <v>11.257447652746453</v>
      </c>
      <c r="K26" s="126">
        <f>(H26+I26+J26)/3</f>
        <v>11.158411272576577</v>
      </c>
    </row>
    <row r="27" spans="1:11" ht="12" customHeight="1">
      <c r="A27" s="14">
        <v>27</v>
      </c>
      <c r="C27" s="49" t="s">
        <v>214</v>
      </c>
      <c r="D27" s="195">
        <f>(D26*SQRT(3))*D2</f>
        <v>19.12827479153363</v>
      </c>
      <c r="E27" s="196">
        <f>E26*SQRT(3)</f>
        <v>19.354059677918272</v>
      </c>
      <c r="F27" s="196">
        <f>F26*SQRT(3)</f>
        <v>19.498471298103855</v>
      </c>
      <c r="G27" s="186">
        <f>(D27+E27+F27)/F3</f>
        <v>19.326935255851918</v>
      </c>
      <c r="H27" s="187">
        <v>19.12827479153363</v>
      </c>
      <c r="I27" s="188">
        <v>19.354059677918272</v>
      </c>
      <c r="J27" s="189">
        <v>19.498471298103855</v>
      </c>
      <c r="K27" s="190">
        <f>(H27+I27+J27)/3</f>
        <v>19.326935255851918</v>
      </c>
    </row>
    <row r="28" spans="1:11" ht="12" customHeight="1">
      <c r="A28" s="14">
        <v>28</v>
      </c>
      <c r="C28" s="32" t="s">
        <v>213</v>
      </c>
      <c r="D28" s="154">
        <f>IF((D27=0),0,D27-G27)</f>
        <v>-0.1986604643182872</v>
      </c>
      <c r="E28" s="155">
        <f>IF((E27=0),0,E27-G27)</f>
        <v>0.027124422066354015</v>
      </c>
      <c r="F28" s="156">
        <f>IF((F27=0),0,F27-G27)</f>
        <v>0.17153604225193675</v>
      </c>
      <c r="G28" s="128" t="s">
        <v>364</v>
      </c>
      <c r="H28" s="191">
        <v>-0.1986604643182872</v>
      </c>
      <c r="I28" s="192">
        <v>0.027124422066354015</v>
      </c>
      <c r="J28" s="193">
        <v>0.17153604225193675</v>
      </c>
      <c r="K28" s="124"/>
    </row>
    <row r="29" spans="1:11" ht="12" customHeight="1">
      <c r="A29" s="14">
        <v>29</v>
      </c>
      <c r="C29" s="32" t="s">
        <v>42</v>
      </c>
      <c r="D29" s="157">
        <f>K208</f>
        <v>0.7161683679141997</v>
      </c>
      <c r="E29" s="158">
        <f>K222</f>
        <v>0.5586210264571144</v>
      </c>
      <c r="F29" s="159">
        <f>K237</f>
        <v>0.4640510523638536</v>
      </c>
      <c r="G29" s="275">
        <f>G23/K21*100</f>
        <v>0</v>
      </c>
      <c r="H29" s="167">
        <v>0.7161683679141997</v>
      </c>
      <c r="I29" s="168">
        <v>0.5586210264571144</v>
      </c>
      <c r="J29" s="169">
        <v>0.4640510523638536</v>
      </c>
      <c r="K29" s="127"/>
    </row>
    <row r="30" spans="1:7" ht="12" customHeight="1">
      <c r="A30" s="14">
        <v>30</v>
      </c>
      <c r="C30" s="43" t="s">
        <v>233</v>
      </c>
      <c r="D30" s="172">
        <f>IF((D25=0),0,J42-J35)</f>
        <v>0</v>
      </c>
      <c r="E30" s="170">
        <f>J43-J36</f>
        <v>0</v>
      </c>
      <c r="F30" s="170">
        <f>J44-J37</f>
        <v>0</v>
      </c>
      <c r="G30" s="226" t="s">
        <v>348</v>
      </c>
    </row>
    <row r="31" spans="1:7" ht="12" customHeight="1">
      <c r="A31" s="14">
        <v>31</v>
      </c>
      <c r="C31" s="111" t="s">
        <v>234</v>
      </c>
      <c r="D31" s="173">
        <f>IF((D25=0),0,D27-H27)</f>
        <v>0</v>
      </c>
      <c r="E31" s="171">
        <f>E27-I27</f>
        <v>0</v>
      </c>
      <c r="F31" s="171">
        <f>F27-J27</f>
        <v>0</v>
      </c>
      <c r="G31" s="227" t="s">
        <v>368</v>
      </c>
    </row>
    <row r="32" spans="1:11" ht="12" customHeight="1">
      <c r="A32" s="14">
        <v>32</v>
      </c>
      <c r="B32" s="212" t="s">
        <v>313</v>
      </c>
      <c r="C32" s="245"/>
      <c r="D32" s="304" t="s">
        <v>340</v>
      </c>
      <c r="E32" s="228"/>
      <c r="F32" s="228"/>
      <c r="G32" s="229"/>
      <c r="H32" s="228"/>
      <c r="I32" s="228"/>
      <c r="J32" s="223"/>
      <c r="K32" s="224"/>
    </row>
    <row r="33" spans="1:11" ht="12" customHeight="1">
      <c r="A33" s="14">
        <v>33</v>
      </c>
      <c r="B33" s="31">
        <f>IF((I2=J2=K2),"gleiche Leerlaufspannungen","")</f>
      </c>
      <c r="C33" s="31"/>
      <c r="D33" s="129" t="s">
        <v>314</v>
      </c>
      <c r="E33" s="104"/>
      <c r="F33" s="104"/>
      <c r="G33" s="130" t="s">
        <v>274</v>
      </c>
      <c r="H33" s="131"/>
      <c r="I33" s="131"/>
      <c r="J33" s="104"/>
      <c r="K33" s="134"/>
    </row>
    <row r="34" spans="1:11" ht="12" customHeight="1">
      <c r="A34" s="14">
        <v>34</v>
      </c>
      <c r="D34" s="174" t="s">
        <v>44</v>
      </c>
      <c r="E34" s="142" t="s">
        <v>48</v>
      </c>
      <c r="F34" s="142" t="s">
        <v>284</v>
      </c>
      <c r="G34" s="144" t="s">
        <v>236</v>
      </c>
      <c r="H34" s="144" t="s">
        <v>209</v>
      </c>
      <c r="I34" s="144" t="s">
        <v>210</v>
      </c>
      <c r="J34" s="52" t="s">
        <v>66</v>
      </c>
      <c r="K34" s="144" t="s">
        <v>376</v>
      </c>
    </row>
    <row r="35" spans="1:11" ht="12" customHeight="1">
      <c r="A35" s="14">
        <v>35</v>
      </c>
      <c r="C35" s="32" t="s">
        <v>324</v>
      </c>
      <c r="D35" s="175">
        <v>35.808418395709985</v>
      </c>
      <c r="E35" s="176">
        <v>28.499420582659102</v>
      </c>
      <c r="F35" s="176">
        <v>-21.680079669017086</v>
      </c>
      <c r="G35" s="176">
        <v>1033.7</v>
      </c>
      <c r="H35" s="176">
        <v>822.76</v>
      </c>
      <c r="I35" s="176">
        <v>-625.89</v>
      </c>
      <c r="J35" s="293">
        <v>0.8306295744146351</v>
      </c>
      <c r="K35" s="142">
        <f>H35/I35</f>
        <v>-1.314544089216955</v>
      </c>
    </row>
    <row r="36" spans="1:11" ht="12" customHeight="1">
      <c r="A36" s="14">
        <v>36</v>
      </c>
      <c r="C36" s="32" t="s">
        <v>325</v>
      </c>
      <c r="D36" s="175">
        <v>27.93105132285572</v>
      </c>
      <c r="E36" s="176">
        <v>23.00442464780978</v>
      </c>
      <c r="F36" s="176">
        <v>-15.841088176739692</v>
      </c>
      <c r="G36" s="176">
        <v>806.3</v>
      </c>
      <c r="H36" s="176">
        <v>664.12</v>
      </c>
      <c r="I36" s="176">
        <v>-457.32</v>
      </c>
      <c r="J36" s="293">
        <v>0.8499142967240668</v>
      </c>
      <c r="K36" s="142">
        <f>H36/I36</f>
        <v>-1.4521997725881222</v>
      </c>
    </row>
    <row r="37" spans="1:11" ht="12" customHeight="1">
      <c r="A37" s="14">
        <v>37</v>
      </c>
      <c r="C37" s="32" t="s">
        <v>326</v>
      </c>
      <c r="D37" s="175">
        <v>23.20255261819268</v>
      </c>
      <c r="E37" s="176">
        <v>19.52747572783695</v>
      </c>
      <c r="F37" s="176">
        <v>-12.531406134139091</v>
      </c>
      <c r="G37" s="176">
        <v>669.8</v>
      </c>
      <c r="H37" s="176">
        <v>563.74</v>
      </c>
      <c r="I37" s="176">
        <v>-361.77</v>
      </c>
      <c r="J37" s="294">
        <v>0.862304499559014</v>
      </c>
      <c r="K37" s="142">
        <f>H37/I37</f>
        <v>-1.5582828869171022</v>
      </c>
    </row>
    <row r="38" spans="1:11" ht="12" customHeight="1">
      <c r="A38" s="14">
        <v>38</v>
      </c>
      <c r="C38" s="29" t="s">
        <v>341</v>
      </c>
      <c r="D38" s="297">
        <f aca="true" t="shared" si="0" ref="D38:I38">D35+D36+D37</f>
        <v>86.94202233675838</v>
      </c>
      <c r="E38" s="292">
        <f t="shared" si="0"/>
        <v>71.03132095830583</v>
      </c>
      <c r="F38" s="292">
        <f t="shared" si="0"/>
        <v>-50.05257397989587</v>
      </c>
      <c r="G38" s="292">
        <f t="shared" si="0"/>
        <v>2509.8</v>
      </c>
      <c r="H38" s="292">
        <f t="shared" si="0"/>
        <v>2050.62</v>
      </c>
      <c r="I38" s="292">
        <f t="shared" si="0"/>
        <v>-1444.98</v>
      </c>
      <c r="J38" s="299">
        <v>0.8174402011168334</v>
      </c>
      <c r="K38" s="295"/>
    </row>
    <row r="39" spans="1:11" ht="12" customHeight="1">
      <c r="A39" s="14">
        <v>39</v>
      </c>
      <c r="C39" s="95" t="s">
        <v>319</v>
      </c>
      <c r="D39" s="272" t="str">
        <f>IF((D2+E2+F2)=3,"im Ausgangszustand","Transformatoranzahl geändert")</f>
        <v>im Ausgangszustand</v>
      </c>
      <c r="E39" s="138"/>
      <c r="F39" s="139"/>
      <c r="G39" s="230" t="s">
        <v>346</v>
      </c>
      <c r="H39" s="138"/>
      <c r="I39" s="138"/>
      <c r="J39" s="138"/>
      <c r="K39" s="138"/>
    </row>
    <row r="40" spans="1:7" ht="12" customHeight="1">
      <c r="A40" s="14">
        <v>40</v>
      </c>
      <c r="C40" s="270" t="s">
        <v>343</v>
      </c>
      <c r="D40" s="273" t="str">
        <f>IF((I2+J2+K2)=0,"im Ausgangszustand","Stufenstellungen geändert")</f>
        <v>im Ausgangszustand</v>
      </c>
      <c r="E40" s="104"/>
      <c r="F40" s="134"/>
      <c r="G40" s="202" t="s">
        <v>347</v>
      </c>
    </row>
    <row r="41" spans="1:11" ht="12" customHeight="1">
      <c r="A41" s="14">
        <v>41</v>
      </c>
      <c r="B41" s="27" t="s">
        <v>384</v>
      </c>
      <c r="D41" s="177" t="s">
        <v>44</v>
      </c>
      <c r="E41" s="178" t="s">
        <v>48</v>
      </c>
      <c r="F41" s="178" t="s">
        <v>284</v>
      </c>
      <c r="G41" s="180" t="s">
        <v>236</v>
      </c>
      <c r="H41" s="180" t="s">
        <v>209</v>
      </c>
      <c r="I41" s="180" t="s">
        <v>210</v>
      </c>
      <c r="J41" s="296" t="s">
        <v>66</v>
      </c>
      <c r="K41" s="180" t="s">
        <v>376</v>
      </c>
    </row>
    <row r="42" spans="1:11" ht="12" customHeight="1">
      <c r="A42" s="14">
        <v>42</v>
      </c>
      <c r="C42" s="32" t="s">
        <v>324</v>
      </c>
      <c r="D42" s="179">
        <f>D213</f>
        <v>35.808418395709985</v>
      </c>
      <c r="E42" s="141">
        <f>E213</f>
        <v>28.499420582659102</v>
      </c>
      <c r="F42" s="141">
        <f>F213</f>
        <v>-21.680079669017086</v>
      </c>
      <c r="G42" s="141">
        <f>D206</f>
        <v>1033.7</v>
      </c>
      <c r="H42" s="141">
        <f>F206</f>
        <v>822.76</v>
      </c>
      <c r="I42" s="141">
        <f>G206</f>
        <v>-625.8899999999999</v>
      </c>
      <c r="J42" s="56">
        <f>K214</f>
        <v>0.8306295744146351</v>
      </c>
      <c r="K42" s="142">
        <f>H42/I42</f>
        <v>-1.3145440892169553</v>
      </c>
    </row>
    <row r="43" spans="1:11" ht="12" customHeight="1">
      <c r="A43" s="14">
        <v>43</v>
      </c>
      <c r="C43" s="32" t="s">
        <v>325</v>
      </c>
      <c r="D43" s="179">
        <f>D227</f>
        <v>27.93105132285572</v>
      </c>
      <c r="E43" s="141">
        <f>E227</f>
        <v>23.00442464780978</v>
      </c>
      <c r="F43" s="141">
        <f>F227</f>
        <v>-15.841088176739692</v>
      </c>
      <c r="G43" s="141">
        <f>D220</f>
        <v>806.3</v>
      </c>
      <c r="H43" s="141">
        <f>F220</f>
        <v>664.12</v>
      </c>
      <c r="I43" s="141">
        <f>G220</f>
        <v>-457.3199999999999</v>
      </c>
      <c r="J43" s="56">
        <f>K228</f>
        <v>0.8499142967240668</v>
      </c>
      <c r="K43" s="142">
        <f>H43/I43</f>
        <v>-1.4521997725881226</v>
      </c>
    </row>
    <row r="44" spans="1:11" ht="12" customHeight="1">
      <c r="A44" s="14">
        <v>44</v>
      </c>
      <c r="C44" s="32" t="s">
        <v>326</v>
      </c>
      <c r="D44" s="179">
        <f>D242</f>
        <v>23.20255261819268</v>
      </c>
      <c r="E44" s="141">
        <f>E242</f>
        <v>19.52747572783695</v>
      </c>
      <c r="F44" s="141">
        <f>F242</f>
        <v>-12.531406134139091</v>
      </c>
      <c r="G44" s="141">
        <f>D235</f>
        <v>669.8</v>
      </c>
      <c r="H44" s="141">
        <f>F235</f>
        <v>563.74</v>
      </c>
      <c r="I44" s="141">
        <f>G235</f>
        <v>-361.76999999999987</v>
      </c>
      <c r="J44" s="56">
        <f>IF((K243=-1),"-",K243)</f>
        <v>0.862304499559014</v>
      </c>
      <c r="K44" s="142">
        <f>H44/I44</f>
        <v>-1.5582828869171026</v>
      </c>
    </row>
    <row r="45" spans="1:11" ht="12" customHeight="1">
      <c r="A45" s="14">
        <v>45</v>
      </c>
      <c r="C45" s="29" t="s">
        <v>341</v>
      </c>
      <c r="D45" s="297">
        <f aca="true" t="shared" si="1" ref="D45:I45">D42+D43+D44</f>
        <v>86.94202233675838</v>
      </c>
      <c r="E45" s="292">
        <f t="shared" si="1"/>
        <v>71.03132095830583</v>
      </c>
      <c r="F45" s="292">
        <f t="shared" si="1"/>
        <v>-50.05257397989587</v>
      </c>
      <c r="G45" s="292">
        <f t="shared" si="1"/>
        <v>2509.8</v>
      </c>
      <c r="H45" s="292">
        <f t="shared" si="1"/>
        <v>2050.62</v>
      </c>
      <c r="I45" s="292">
        <f t="shared" si="1"/>
        <v>-1444.9799999999996</v>
      </c>
      <c r="J45" s="298">
        <f>COS((I249)/180*PI())</f>
        <v>0.8174402011168334</v>
      </c>
      <c r="K45" s="145"/>
    </row>
    <row r="46" spans="1:11" ht="12" customHeight="1">
      <c r="A46" s="14">
        <v>46</v>
      </c>
      <c r="B46" s="212" t="s">
        <v>359</v>
      </c>
      <c r="C46" s="212"/>
      <c r="D46" s="212"/>
      <c r="E46" s="235"/>
      <c r="F46" s="235"/>
      <c r="G46" s="212"/>
      <c r="H46" s="235"/>
      <c r="I46" s="235"/>
      <c r="J46" s="235"/>
      <c r="K46" s="235"/>
    </row>
    <row r="47" spans="1:11" ht="12" customHeight="1">
      <c r="A47" s="14">
        <v>47</v>
      </c>
      <c r="C47" s="231" t="s">
        <v>3</v>
      </c>
      <c r="D47" s="232" t="s">
        <v>328</v>
      </c>
      <c r="E47" s="232" t="s">
        <v>329</v>
      </c>
      <c r="F47" s="232" t="s">
        <v>330</v>
      </c>
      <c r="G47" s="233" t="s">
        <v>234</v>
      </c>
      <c r="H47" s="234" t="s">
        <v>235</v>
      </c>
      <c r="I47" s="234" t="s">
        <v>254</v>
      </c>
      <c r="J47" s="234" t="s">
        <v>255</v>
      </c>
      <c r="K47" s="144" t="s">
        <v>256</v>
      </c>
    </row>
    <row r="48" spans="1:11" ht="12" customHeight="1">
      <c r="A48" s="14">
        <v>48</v>
      </c>
      <c r="C48" s="32" t="s">
        <v>0</v>
      </c>
      <c r="D48" s="289">
        <f>D42-D35</f>
        <v>0</v>
      </c>
      <c r="E48" s="289">
        <f>E42-E35</f>
        <v>0</v>
      </c>
      <c r="F48" s="289">
        <f>ABS(F42)-ABS(F35)</f>
        <v>0</v>
      </c>
      <c r="G48" s="290">
        <f>IF((D27=0),0,D27-H27)</f>
        <v>0</v>
      </c>
      <c r="H48" s="291">
        <f>G42-G35</f>
        <v>0</v>
      </c>
      <c r="I48" s="291">
        <f>H42-H35</f>
        <v>0</v>
      </c>
      <c r="J48" s="291">
        <f>ABS(I42)-ABS(I35)</f>
        <v>0</v>
      </c>
      <c r="K48" s="289">
        <f>H206</f>
        <v>0.760720015557392</v>
      </c>
    </row>
    <row r="49" spans="1:11" ht="12" customHeight="1">
      <c r="A49" s="14">
        <v>49</v>
      </c>
      <c r="C49" s="43" t="s">
        <v>257</v>
      </c>
      <c r="D49" s="185">
        <f>D48*100/D35</f>
        <v>0</v>
      </c>
      <c r="E49" s="185">
        <f>E48*100/E35</f>
        <v>0</v>
      </c>
      <c r="F49" s="185">
        <f>F48*100/ABS(F35)</f>
        <v>0</v>
      </c>
      <c r="G49" s="194">
        <f>G48*100/D27</f>
        <v>0</v>
      </c>
      <c r="H49" s="185">
        <f>H48*100/G35</f>
        <v>0</v>
      </c>
      <c r="I49" s="185">
        <f>I48/H35*100</f>
        <v>0</v>
      </c>
      <c r="J49" s="185">
        <f>J48/ABS(I35)*100</f>
        <v>0</v>
      </c>
      <c r="K49" s="185">
        <f>I206</f>
        <v>-1.114148440041971E-08</v>
      </c>
    </row>
    <row r="50" spans="1:11" ht="12" customHeight="1">
      <c r="A50" s="14">
        <v>50</v>
      </c>
      <c r="C50" s="98" t="s">
        <v>8</v>
      </c>
      <c r="D50" s="181"/>
      <c r="E50" s="181"/>
      <c r="F50" s="181"/>
      <c r="G50" s="182"/>
      <c r="H50" s="183"/>
      <c r="I50" s="183"/>
      <c r="J50" s="183"/>
      <c r="K50" s="140"/>
    </row>
    <row r="51" spans="1:11" ht="12" customHeight="1">
      <c r="A51" s="14">
        <v>51</v>
      </c>
      <c r="C51" s="32" t="s">
        <v>0</v>
      </c>
      <c r="D51" s="289">
        <f>D43-D36</f>
        <v>0</v>
      </c>
      <c r="E51" s="289">
        <f>E43-E36</f>
        <v>0</v>
      </c>
      <c r="F51" s="289">
        <f>ABS(F43)-ABS(F36)</f>
        <v>0</v>
      </c>
      <c r="G51" s="290">
        <f>E27-I27</f>
        <v>0</v>
      </c>
      <c r="H51" s="291">
        <f>G43-G36</f>
        <v>0</v>
      </c>
      <c r="I51" s="291">
        <f>H43-H36</f>
        <v>0</v>
      </c>
      <c r="J51" s="291">
        <f>ABS(I43)-ABS(I36)</f>
        <v>0</v>
      </c>
      <c r="K51" s="289">
        <f>H220</f>
        <v>0.6886104920797445</v>
      </c>
    </row>
    <row r="52" spans="1:11" ht="12" customHeight="1">
      <c r="A52" s="14">
        <v>52</v>
      </c>
      <c r="C52" s="43" t="s">
        <v>257</v>
      </c>
      <c r="D52" s="185">
        <f>D51*100/D36</f>
        <v>0</v>
      </c>
      <c r="E52" s="185">
        <f>E51*100/E36</f>
        <v>0</v>
      </c>
      <c r="F52" s="185">
        <f>F51*100/ABS(F36)</f>
        <v>0</v>
      </c>
      <c r="G52" s="194">
        <f>G51*100/(E27)</f>
        <v>0</v>
      </c>
      <c r="H52" s="185">
        <f>H51*100/G36</f>
        <v>0</v>
      </c>
      <c r="I52" s="185">
        <f>I51/H36*100</f>
        <v>0</v>
      </c>
      <c r="J52" s="185">
        <f>J51/ABS(I36)*100</f>
        <v>0</v>
      </c>
      <c r="K52" s="185">
        <f>I220</f>
        <v>-0.0001394823899797863</v>
      </c>
    </row>
    <row r="53" spans="1:11" ht="12" customHeight="1">
      <c r="A53" s="14">
        <v>53</v>
      </c>
      <c r="C53" s="98" t="s">
        <v>13</v>
      </c>
      <c r="D53" s="181"/>
      <c r="E53" s="181"/>
      <c r="F53" s="181"/>
      <c r="G53" s="182"/>
      <c r="H53" s="183"/>
      <c r="I53" s="183"/>
      <c r="J53" s="183"/>
      <c r="K53" s="140"/>
    </row>
    <row r="54" spans="1:11" ht="12" customHeight="1">
      <c r="A54" s="14">
        <v>54</v>
      </c>
      <c r="C54" s="32" t="s">
        <v>0</v>
      </c>
      <c r="D54" s="289">
        <f>D44-D37</f>
        <v>0</v>
      </c>
      <c r="E54" s="289">
        <f>E44-E37</f>
        <v>0</v>
      </c>
      <c r="F54" s="289">
        <f>ABS(F44)-ABS(F37)</f>
        <v>0</v>
      </c>
      <c r="G54" s="290">
        <f>F27-J27</f>
        <v>0</v>
      </c>
      <c r="H54" s="291">
        <f>G44-G37</f>
        <v>0</v>
      </c>
      <c r="I54" s="291">
        <f>H44-H37</f>
        <v>0</v>
      </c>
      <c r="J54" s="291">
        <f>ABS(I44)-ABS(I37)</f>
        <v>0</v>
      </c>
      <c r="K54" s="289">
        <f>H235</f>
        <v>0.6417320041153721</v>
      </c>
    </row>
    <row r="55" spans="1:11" ht="12" customHeight="1">
      <c r="A55" s="14">
        <v>55</v>
      </c>
      <c r="C55" s="43" t="s">
        <v>257</v>
      </c>
      <c r="D55" s="185">
        <f>D54*100/D37</f>
        <v>0</v>
      </c>
      <c r="E55" s="185">
        <f>E54*100/E37</f>
        <v>0</v>
      </c>
      <c r="F55" s="185">
        <f>F54*100/ABS(F37)</f>
        <v>0</v>
      </c>
      <c r="G55" s="194">
        <f>G54*100/F27</f>
        <v>0</v>
      </c>
      <c r="H55" s="185">
        <f>H54*100/G37</f>
        <v>0</v>
      </c>
      <c r="I55" s="185">
        <f>I54/H37*100</f>
        <v>0</v>
      </c>
      <c r="J55" s="185">
        <f>J54/ABS(I37)*100</f>
        <v>0</v>
      </c>
      <c r="K55" s="185">
        <f>I235</f>
        <v>-0.00046331270168675857</v>
      </c>
    </row>
    <row r="56" spans="1:11" ht="12" customHeight="1">
      <c r="A56" s="14">
        <v>56</v>
      </c>
      <c r="C56" s="284" t="s">
        <v>312</v>
      </c>
      <c r="D56" s="181" t="s">
        <v>211</v>
      </c>
      <c r="E56" s="181" t="s">
        <v>212</v>
      </c>
      <c r="F56" s="181" t="s">
        <v>308</v>
      </c>
      <c r="G56" s="182" t="s">
        <v>234</v>
      </c>
      <c r="H56" s="183" t="s">
        <v>235</v>
      </c>
      <c r="I56" s="183" t="s">
        <v>254</v>
      </c>
      <c r="J56" s="183" t="s">
        <v>255</v>
      </c>
      <c r="K56" s="140"/>
    </row>
    <row r="57" spans="1:11" ht="12" customHeight="1">
      <c r="A57" s="14">
        <v>57</v>
      </c>
      <c r="C57" s="32" t="s">
        <v>0</v>
      </c>
      <c r="D57" s="291">
        <f>D45-D38</f>
        <v>0</v>
      </c>
      <c r="E57" s="291">
        <f>E45-E38</f>
        <v>0</v>
      </c>
      <c r="F57" s="291">
        <f>ABS(F45)-ABS(F38)</f>
        <v>0</v>
      </c>
      <c r="G57" s="289">
        <f>G26-K26</f>
        <v>0</v>
      </c>
      <c r="H57" s="291">
        <f>G45-G38</f>
        <v>0</v>
      </c>
      <c r="I57" s="292">
        <f>H45-H38</f>
        <v>0</v>
      </c>
      <c r="J57" s="292">
        <f>ABS(I45)-ABS(I38)</f>
        <v>0</v>
      </c>
      <c r="K57" s="144"/>
    </row>
    <row r="58" spans="1:11" ht="12" customHeight="1">
      <c r="A58" s="14">
        <v>58</v>
      </c>
      <c r="C58" s="43" t="s">
        <v>257</v>
      </c>
      <c r="D58" s="274">
        <f>D57*100/D45</f>
        <v>0</v>
      </c>
      <c r="E58" s="274">
        <f>E57*100/E45</f>
        <v>0</v>
      </c>
      <c r="F58" s="274">
        <f>F57*100/ABS(F45)</f>
        <v>0</v>
      </c>
      <c r="G58" s="300">
        <f>G57/K27*100</f>
        <v>0</v>
      </c>
      <c r="H58" s="274">
        <f>H57*100/G45</f>
        <v>0</v>
      </c>
      <c r="I58" s="274">
        <f>I57/H38*100</f>
        <v>0</v>
      </c>
      <c r="J58" s="274">
        <f>J57/ABS(I38)*100</f>
        <v>0</v>
      </c>
      <c r="K58" s="140"/>
    </row>
    <row r="59" spans="1:11" ht="12" customHeight="1">
      <c r="A59" s="14">
        <v>59</v>
      </c>
      <c r="B59" s="236" t="s">
        <v>321</v>
      </c>
      <c r="C59" s="236"/>
      <c r="D59" s="235"/>
      <c r="E59" s="235"/>
      <c r="F59" s="235"/>
      <c r="G59" s="235"/>
      <c r="H59" s="235"/>
      <c r="I59" s="235"/>
      <c r="J59" s="235"/>
      <c r="K59" s="235"/>
    </row>
    <row r="60" spans="1:11" ht="12" customHeight="1">
      <c r="A60" s="14">
        <v>60</v>
      </c>
      <c r="C60" s="92" t="s">
        <v>3</v>
      </c>
      <c r="D60" s="100" t="s">
        <v>4</v>
      </c>
      <c r="E60" s="100" t="s">
        <v>22</v>
      </c>
      <c r="F60" s="100" t="s">
        <v>25</v>
      </c>
      <c r="G60" s="52" t="s">
        <v>127</v>
      </c>
      <c r="H60" s="100" t="s">
        <v>51</v>
      </c>
      <c r="I60" s="100" t="s">
        <v>52</v>
      </c>
      <c r="J60" s="218" t="s">
        <v>128</v>
      </c>
      <c r="K60" s="100" t="s">
        <v>258</v>
      </c>
    </row>
    <row r="61" spans="1:11" ht="12" customHeight="1">
      <c r="A61" s="14">
        <v>61</v>
      </c>
      <c r="C61" s="19" t="s">
        <v>177</v>
      </c>
      <c r="D61" s="1">
        <v>50</v>
      </c>
      <c r="E61" s="113">
        <f>IF((D2=1),D5,0)</f>
        <v>20</v>
      </c>
      <c r="F61" s="20">
        <f>IF((D2=1),(D61*1000000)/(SQRT(3)*(E61*1000)),0)</f>
        <v>1443.3756729740644</v>
      </c>
      <c r="G61" s="90">
        <v>10</v>
      </c>
      <c r="H61" s="21">
        <f>((K61/1000)/D61)*100</f>
        <v>0.2</v>
      </c>
      <c r="I61" s="22">
        <f>SQRT(G61^2-H61^2)</f>
        <v>9.99799979995999</v>
      </c>
      <c r="J61" s="66">
        <f>ACOS(J63)*180/PI()</f>
        <v>88.8540080016114</v>
      </c>
      <c r="K61" s="3">
        <v>100</v>
      </c>
    </row>
    <row r="62" spans="1:11" ht="12" customHeight="1">
      <c r="A62" s="14">
        <v>62</v>
      </c>
      <c r="C62" s="23" t="s">
        <v>162</v>
      </c>
      <c r="D62" s="17" t="s">
        <v>5</v>
      </c>
      <c r="E62" s="17" t="s">
        <v>6</v>
      </c>
      <c r="F62" s="17" t="s">
        <v>7</v>
      </c>
      <c r="G62" s="52" t="s">
        <v>133</v>
      </c>
      <c r="H62" s="17" t="s">
        <v>29</v>
      </c>
      <c r="I62" s="17" t="s">
        <v>30</v>
      </c>
      <c r="J62" s="52" t="s">
        <v>136</v>
      </c>
      <c r="K62" s="17" t="s">
        <v>137</v>
      </c>
    </row>
    <row r="63" spans="1:11" ht="12" customHeight="1">
      <c r="A63" s="14">
        <v>63</v>
      </c>
      <c r="C63" s="24"/>
      <c r="D63" s="11">
        <f>((G61/100)*E61*1000)/(F61*SQRT(3)+0.0000000000001)</f>
        <v>0.8</v>
      </c>
      <c r="E63" s="108">
        <f>IF((D2=1),(D63*(H61/G61)),999999999999)</f>
        <v>0.016</v>
      </c>
      <c r="F63" s="108">
        <f>IF((D2=1),(D63*(I61/G61)),999999999999)</f>
        <v>0.7998399839967992</v>
      </c>
      <c r="G63" s="63">
        <f>IF((D2=1),(D63*F61),0)</f>
        <v>1154.7005383792516</v>
      </c>
      <c r="H63" s="20">
        <f>E63*F61</f>
        <v>23.09401076758503</v>
      </c>
      <c r="I63" s="20">
        <f>F61*F63</f>
        <v>1154.469575172945</v>
      </c>
      <c r="J63" s="56">
        <f>H61/G61</f>
        <v>0.02</v>
      </c>
      <c r="K63" s="26">
        <f>I61/G61</f>
        <v>0.999799979995999</v>
      </c>
    </row>
    <row r="64" spans="1:11" ht="12" customHeight="1">
      <c r="A64" s="14">
        <v>64</v>
      </c>
      <c r="C64" s="16" t="s">
        <v>8</v>
      </c>
      <c r="D64" s="50" t="s">
        <v>9</v>
      </c>
      <c r="E64" s="50" t="s">
        <v>23</v>
      </c>
      <c r="F64" s="50" t="s">
        <v>26</v>
      </c>
      <c r="G64" s="91" t="s">
        <v>129</v>
      </c>
      <c r="H64" s="50" t="s">
        <v>53</v>
      </c>
      <c r="I64" s="50" t="s">
        <v>55</v>
      </c>
      <c r="J64" s="89" t="s">
        <v>132</v>
      </c>
      <c r="K64" s="50" t="s">
        <v>260</v>
      </c>
    </row>
    <row r="65" spans="1:11" ht="12" customHeight="1">
      <c r="A65" s="14">
        <v>65</v>
      </c>
      <c r="C65" s="19" t="s">
        <v>177</v>
      </c>
      <c r="D65" s="1">
        <v>50</v>
      </c>
      <c r="E65" s="113">
        <f>IF((E2=1),D5,0)</f>
        <v>20</v>
      </c>
      <c r="F65" s="20">
        <f>IF((E2=1),(D65*1000000)/(SQRT(3)*(E65*1000)),0)</f>
        <v>1443.3756729740644</v>
      </c>
      <c r="G65" s="90">
        <v>10</v>
      </c>
      <c r="H65" s="21">
        <f>((K65/1000)/D65)*100</f>
        <v>0.2</v>
      </c>
      <c r="I65" s="22">
        <f>SQRT(G65^2-H65^2)</f>
        <v>9.99799979995999</v>
      </c>
      <c r="J65" s="66">
        <f>ACOS(J67)*180/PI()</f>
        <v>88.8540080016114</v>
      </c>
      <c r="K65" s="3">
        <v>100</v>
      </c>
    </row>
    <row r="66" spans="1:11" ht="12" customHeight="1">
      <c r="A66" s="14">
        <v>66</v>
      </c>
      <c r="C66" s="23" t="s">
        <v>162</v>
      </c>
      <c r="D66" s="17" t="s">
        <v>10</v>
      </c>
      <c r="E66" s="17" t="s">
        <v>11</v>
      </c>
      <c r="F66" s="17" t="s">
        <v>12</v>
      </c>
      <c r="G66" s="52" t="s">
        <v>134</v>
      </c>
      <c r="H66" s="17" t="s">
        <v>31</v>
      </c>
      <c r="I66" s="17" t="s">
        <v>33</v>
      </c>
      <c r="J66" s="52" t="s">
        <v>140</v>
      </c>
      <c r="K66" s="17" t="s">
        <v>141</v>
      </c>
    </row>
    <row r="67" spans="1:11" ht="12" customHeight="1">
      <c r="A67" s="14">
        <v>67</v>
      </c>
      <c r="C67" s="30"/>
      <c r="D67" s="11">
        <f>((G65/100)*E65*1000)/(F65*SQRT(3)+0.0000000000001)</f>
        <v>0.8</v>
      </c>
      <c r="E67" s="108">
        <f>IF((E2=1),(D67*(H65/G65)),999999999999)</f>
        <v>0.016</v>
      </c>
      <c r="F67" s="108">
        <f>IF((E2=1),(D67*(I65/G65)),999999999999)</f>
        <v>0.7998399839967992</v>
      </c>
      <c r="G67" s="63">
        <f>D67*F65</f>
        <v>1154.7005383792516</v>
      </c>
      <c r="H67" s="20">
        <f>E67*F65</f>
        <v>23.09401076758503</v>
      </c>
      <c r="I67" s="20">
        <f>F65*F67</f>
        <v>1154.469575172945</v>
      </c>
      <c r="J67" s="56">
        <f>H65/G65</f>
        <v>0.02</v>
      </c>
      <c r="K67" s="26">
        <f>I65/G65</f>
        <v>0.999799979995999</v>
      </c>
    </row>
    <row r="68" spans="1:11" ht="12" customHeight="1">
      <c r="A68" s="14">
        <v>68</v>
      </c>
      <c r="C68" s="16" t="s">
        <v>13</v>
      </c>
      <c r="D68" s="50" t="s">
        <v>14</v>
      </c>
      <c r="E68" s="50" t="s">
        <v>24</v>
      </c>
      <c r="F68" s="50" t="s">
        <v>27</v>
      </c>
      <c r="G68" s="91" t="s">
        <v>130</v>
      </c>
      <c r="H68" s="50" t="s">
        <v>54</v>
      </c>
      <c r="I68" s="50" t="s">
        <v>56</v>
      </c>
      <c r="J68" s="89" t="s">
        <v>131</v>
      </c>
      <c r="K68" s="50" t="s">
        <v>259</v>
      </c>
    </row>
    <row r="69" spans="1:11" ht="12" customHeight="1">
      <c r="A69" s="14">
        <v>69</v>
      </c>
      <c r="C69" s="19" t="s">
        <v>177</v>
      </c>
      <c r="D69" s="1">
        <v>50</v>
      </c>
      <c r="E69" s="113">
        <f>IF((F2=1),D5,0)</f>
        <v>20</v>
      </c>
      <c r="F69" s="20">
        <f>IF((F2=1),(D69*1000000)/(SQRT(3)*(E69*1000)),0)</f>
        <v>1443.3756729740644</v>
      </c>
      <c r="G69" s="90">
        <v>10</v>
      </c>
      <c r="H69" s="21">
        <f>((K69/1000)/D69)*100</f>
        <v>0.2</v>
      </c>
      <c r="I69" s="22">
        <f>SQRT(G69^2-H69^2)</f>
        <v>9.99799979995999</v>
      </c>
      <c r="J69" s="66">
        <f>ACOS(J71)*180/PI()</f>
        <v>88.8540080016114</v>
      </c>
      <c r="K69" s="3">
        <v>100</v>
      </c>
    </row>
    <row r="70" spans="1:11" ht="12" customHeight="1">
      <c r="A70" s="14">
        <v>70</v>
      </c>
      <c r="C70" s="23" t="s">
        <v>162</v>
      </c>
      <c r="D70" s="17" t="s">
        <v>15</v>
      </c>
      <c r="E70" s="17" t="s">
        <v>16</v>
      </c>
      <c r="F70" s="17" t="s">
        <v>17</v>
      </c>
      <c r="G70" s="52" t="s">
        <v>135</v>
      </c>
      <c r="H70" s="17" t="s">
        <v>32</v>
      </c>
      <c r="I70" s="17" t="s">
        <v>34</v>
      </c>
      <c r="J70" s="52" t="s">
        <v>138</v>
      </c>
      <c r="K70" s="17" t="s">
        <v>139</v>
      </c>
    </row>
    <row r="71" spans="1:11" ht="12" customHeight="1">
      <c r="A71" s="14">
        <v>71</v>
      </c>
      <c r="C71" s="30"/>
      <c r="D71" s="11">
        <f>((G69/100)*E69*1000)/(F69*SQRT(3)+0.00000000000001)</f>
        <v>0.8</v>
      </c>
      <c r="E71" s="108">
        <f>IF((F2=1),(D71*(H69/G69)),999999999999)</f>
        <v>0.016</v>
      </c>
      <c r="F71" s="108">
        <f>IF((F2=1),(D71*(I69/G69)),999999999999)</f>
        <v>0.7998399839967992</v>
      </c>
      <c r="G71" s="63">
        <f>D71*F69</f>
        <v>1154.7005383792516</v>
      </c>
      <c r="H71" s="20">
        <f>E71*F69</f>
        <v>23.09401076758503</v>
      </c>
      <c r="I71" s="20">
        <f>F69*F71</f>
        <v>1154.469575172945</v>
      </c>
      <c r="J71" s="56">
        <f>H69/G69</f>
        <v>0.02</v>
      </c>
      <c r="K71" s="26">
        <f>I69/G69</f>
        <v>0.999799979995999</v>
      </c>
    </row>
    <row r="72" spans="1:11" ht="12" customHeight="1">
      <c r="A72" s="14">
        <v>72</v>
      </c>
      <c r="C72" s="30"/>
      <c r="D72" s="30"/>
      <c r="E72" s="108"/>
      <c r="F72" s="108"/>
      <c r="G72" s="65"/>
      <c r="H72" s="20"/>
      <c r="I72" s="20"/>
      <c r="J72" s="79"/>
      <c r="K72" s="26"/>
    </row>
    <row r="73" spans="1:11" ht="12" customHeight="1">
      <c r="A73" s="14">
        <v>73</v>
      </c>
      <c r="B73" s="54"/>
      <c r="C73" s="99" t="s">
        <v>267</v>
      </c>
      <c r="D73" s="50" t="s">
        <v>119</v>
      </c>
      <c r="E73" s="50" t="s">
        <v>120</v>
      </c>
      <c r="F73" s="50" t="s">
        <v>121</v>
      </c>
      <c r="G73" s="50" t="s">
        <v>122</v>
      </c>
      <c r="H73" s="50" t="s">
        <v>57</v>
      </c>
      <c r="I73" s="50" t="s">
        <v>58</v>
      </c>
      <c r="J73" s="50" t="s">
        <v>59</v>
      </c>
      <c r="K73" s="50" t="s">
        <v>60</v>
      </c>
    </row>
    <row r="74" spans="1:11" ht="12" customHeight="1">
      <c r="A74" s="14">
        <v>74</v>
      </c>
      <c r="C74" s="32" t="s">
        <v>158</v>
      </c>
      <c r="D74" s="10">
        <f>D4*I74</f>
        <v>50</v>
      </c>
      <c r="E74" s="10">
        <f>E4*J74</f>
        <v>50</v>
      </c>
      <c r="F74" s="10">
        <f>F4*K74</f>
        <v>50</v>
      </c>
      <c r="G74" s="10">
        <f>D74+E74+F74</f>
        <v>150</v>
      </c>
      <c r="H74" s="30">
        <f>MIN(G61,G65,G69)</f>
        <v>10</v>
      </c>
      <c r="I74" s="22">
        <f>H74/G61</f>
        <v>1</v>
      </c>
      <c r="J74" s="22">
        <f>H74/G65</f>
        <v>1</v>
      </c>
      <c r="K74" s="22">
        <f>H74/G69</f>
        <v>1</v>
      </c>
    </row>
    <row r="75" spans="1:11" ht="12" customHeight="1">
      <c r="A75" s="14">
        <v>75</v>
      </c>
      <c r="C75" s="33" t="s">
        <v>46</v>
      </c>
      <c r="D75" s="20">
        <f>((H74/G61)-1)*100</f>
        <v>0</v>
      </c>
      <c r="E75" s="20">
        <f>((H74/G65)-1)*100</f>
        <v>0</v>
      </c>
      <c r="F75" s="20">
        <f>((H74/G69)-1)*100</f>
        <v>0</v>
      </c>
      <c r="G75" s="20">
        <f>(K76-1)*100</f>
        <v>0</v>
      </c>
      <c r="I75" s="72" t="s">
        <v>95</v>
      </c>
      <c r="J75" s="54"/>
      <c r="K75" s="54"/>
    </row>
    <row r="76" spans="1:11" ht="12" customHeight="1">
      <c r="A76" s="14">
        <v>76</v>
      </c>
      <c r="C76" s="32" t="s">
        <v>159</v>
      </c>
      <c r="D76" s="10">
        <f>D4*K76</f>
        <v>50</v>
      </c>
      <c r="E76" s="10">
        <f>E4*K76</f>
        <v>50</v>
      </c>
      <c r="F76" s="10">
        <f>F4*K76</f>
        <v>50</v>
      </c>
      <c r="G76" s="10">
        <f>D76+E76+F76</f>
        <v>150</v>
      </c>
      <c r="J76" s="32" t="s">
        <v>123</v>
      </c>
      <c r="K76" s="25">
        <f>G74/(D4+E4+F4)</f>
        <v>1</v>
      </c>
    </row>
    <row r="77" spans="1:11" ht="12" customHeight="1">
      <c r="A77" s="14">
        <v>77</v>
      </c>
      <c r="C77" s="32" t="s">
        <v>47</v>
      </c>
      <c r="D77" s="22">
        <f>D4/K77</f>
        <v>1</v>
      </c>
      <c r="E77" s="22">
        <f>E4/K77</f>
        <v>1</v>
      </c>
      <c r="F77" s="22">
        <f>F4/K77</f>
        <v>1</v>
      </c>
      <c r="J77" s="32" t="s">
        <v>175</v>
      </c>
      <c r="K77" s="20">
        <f>(D4+E4+F4)/F3</f>
        <v>50</v>
      </c>
    </row>
    <row r="78" spans="1:11" ht="12" customHeight="1">
      <c r="A78" s="14">
        <v>78</v>
      </c>
      <c r="C78" s="32" t="s">
        <v>61</v>
      </c>
      <c r="D78" s="22">
        <f>G61/K78</f>
        <v>1</v>
      </c>
      <c r="E78" s="22">
        <f>G65/K78</f>
        <v>1</v>
      </c>
      <c r="F78" s="22">
        <f>G69/K78</f>
        <v>1</v>
      </c>
      <c r="J78" s="32" t="s">
        <v>176</v>
      </c>
      <c r="K78" s="20">
        <f>AVERAGE(G61,G65,G69)</f>
        <v>10</v>
      </c>
    </row>
    <row r="79" spans="1:11" ht="12" customHeight="1">
      <c r="A79" s="14">
        <v>79</v>
      </c>
      <c r="C79" s="32"/>
      <c r="D79" s="22"/>
      <c r="E79" s="22"/>
      <c r="F79" s="22"/>
      <c r="J79" s="32"/>
      <c r="K79" s="20"/>
    </row>
    <row r="80" spans="1:11" ht="12" customHeight="1">
      <c r="A80" s="14">
        <v>80</v>
      </c>
      <c r="B80" s="212" t="s">
        <v>350</v>
      </c>
      <c r="C80" s="212"/>
      <c r="D80" s="213"/>
      <c r="E80" s="213"/>
      <c r="F80" s="213"/>
      <c r="G80" s="213"/>
      <c r="H80" s="213"/>
      <c r="I80" s="213"/>
      <c r="J80" s="214"/>
      <c r="K80" s="213"/>
    </row>
    <row r="81" spans="1:11" ht="12" customHeight="1">
      <c r="A81" s="14">
        <v>81</v>
      </c>
      <c r="C81" s="16" t="s">
        <v>351</v>
      </c>
      <c r="D81" s="17" t="s">
        <v>286</v>
      </c>
      <c r="E81" s="17" t="s">
        <v>362</v>
      </c>
      <c r="F81" s="17" t="s">
        <v>287</v>
      </c>
      <c r="G81" s="17" t="s">
        <v>288</v>
      </c>
      <c r="H81" s="94" t="s">
        <v>295</v>
      </c>
      <c r="I81" s="25"/>
      <c r="J81" s="25"/>
      <c r="K81" s="29"/>
    </row>
    <row r="82" spans="1:11" ht="12" customHeight="1">
      <c r="A82" s="14">
        <v>82</v>
      </c>
      <c r="C82" s="32" t="s">
        <v>296</v>
      </c>
      <c r="D82" s="22">
        <f>(E63*(100+I82))/100</f>
        <v>0.01632</v>
      </c>
      <c r="E82" s="22">
        <v>0</v>
      </c>
      <c r="F82" s="22">
        <f>COS(E82/180*PI())*D82</f>
        <v>0.01632</v>
      </c>
      <c r="G82" s="22">
        <f>SIN(E82/180*PI())*D82</f>
        <v>0</v>
      </c>
      <c r="H82" s="18" t="s">
        <v>290</v>
      </c>
      <c r="I82" s="2">
        <v>2</v>
      </c>
      <c r="J82" s="32"/>
      <c r="K82" s="25"/>
    </row>
    <row r="83" spans="1:11" ht="12" customHeight="1">
      <c r="A83" s="14">
        <v>83</v>
      </c>
      <c r="C83" s="32" t="s">
        <v>217</v>
      </c>
      <c r="D83" s="22">
        <f>(F63*(100+I83))/100</f>
        <v>0.8142371037087416</v>
      </c>
      <c r="E83" s="22">
        <v>90</v>
      </c>
      <c r="F83" s="22">
        <f>TRUNC((COS(E83/180*PI())*D83),2)</f>
        <v>0</v>
      </c>
      <c r="G83" s="22">
        <f>SIN(E83/180*PI())*D83</f>
        <v>0.8142371037087416</v>
      </c>
      <c r="H83" s="18" t="s">
        <v>291</v>
      </c>
      <c r="I83" s="2">
        <v>1.8</v>
      </c>
      <c r="J83" s="32"/>
      <c r="K83" s="25"/>
    </row>
    <row r="84" spans="1:11" ht="12" customHeight="1">
      <c r="A84" s="14">
        <v>84</v>
      </c>
      <c r="C84" s="32" t="s">
        <v>218</v>
      </c>
      <c r="D84" s="22">
        <f>IF((D2=1),SQRT(F84^2+G84^2),999999999999)</f>
        <v>0.8144006406284318</v>
      </c>
      <c r="E84" s="22">
        <f>ATAN2(F84,G84)*180/PI()</f>
        <v>88.85175714604502</v>
      </c>
      <c r="F84" s="22">
        <f>IF((D2=1),(F82+F83),999999999999)</f>
        <v>0.01632</v>
      </c>
      <c r="G84" s="22">
        <f>IF((D2=1),(G82+G83),999999999999)</f>
        <v>0.8142371037087416</v>
      </c>
      <c r="H84" s="17"/>
      <c r="I84" s="17"/>
      <c r="J84" s="32"/>
      <c r="K84" s="25"/>
    </row>
    <row r="85" spans="1:11" ht="12" customHeight="1">
      <c r="A85" s="14">
        <v>85</v>
      </c>
      <c r="C85" s="32"/>
      <c r="D85" s="22"/>
      <c r="E85" s="22"/>
      <c r="F85" s="22"/>
      <c r="G85" s="22"/>
      <c r="H85" s="17"/>
      <c r="I85" s="17"/>
      <c r="J85" s="32"/>
      <c r="K85" s="25"/>
    </row>
    <row r="86" spans="1:11" ht="12" customHeight="1">
      <c r="A86" s="14">
        <v>86</v>
      </c>
      <c r="C86" s="92" t="s">
        <v>349</v>
      </c>
      <c r="D86" s="50" t="s">
        <v>286</v>
      </c>
      <c r="E86" s="50" t="s">
        <v>362</v>
      </c>
      <c r="F86" s="50" t="s">
        <v>287</v>
      </c>
      <c r="G86" s="50" t="s">
        <v>288</v>
      </c>
      <c r="H86" s="50" t="s">
        <v>35</v>
      </c>
      <c r="I86" s="50" t="s">
        <v>36</v>
      </c>
      <c r="J86" s="72" t="s">
        <v>301</v>
      </c>
      <c r="K86" s="93"/>
    </row>
    <row r="87" spans="1:11" ht="12" customHeight="1">
      <c r="A87" s="14">
        <v>87</v>
      </c>
      <c r="C87" s="32" t="s">
        <v>219</v>
      </c>
      <c r="D87" s="250">
        <f>IF((D2=1),SQRT(F87^2+G87^2),999999999999)</f>
        <v>0.1</v>
      </c>
      <c r="E87" s="250">
        <f>ATAN2(F87,G87)*180/PI()</f>
        <v>0</v>
      </c>
      <c r="F87" s="250">
        <f>(H87*(100+H90))/100</f>
        <v>0.1</v>
      </c>
      <c r="G87" s="250">
        <v>0</v>
      </c>
      <c r="H87" s="120">
        <v>0.1</v>
      </c>
      <c r="I87" s="120">
        <v>0.3</v>
      </c>
      <c r="J87" s="118" t="s">
        <v>302</v>
      </c>
      <c r="K87" s="70"/>
    </row>
    <row r="88" spans="1:9" ht="12" customHeight="1">
      <c r="A88" s="14">
        <v>88</v>
      </c>
      <c r="C88" s="32" t="s">
        <v>289</v>
      </c>
      <c r="D88" s="250">
        <f>IF((D2=1),SQRT(F88^2+G88^2),999999999999)</f>
        <v>0.3</v>
      </c>
      <c r="E88" s="250">
        <f>ATAN2(F88,G88)*180/PI()</f>
        <v>90</v>
      </c>
      <c r="F88" s="250">
        <v>0</v>
      </c>
      <c r="G88" s="250">
        <f>(I87*(100+I90))/100</f>
        <v>0.3</v>
      </c>
      <c r="H88" s="94" t="s">
        <v>338</v>
      </c>
      <c r="I88" s="104"/>
    </row>
    <row r="89" spans="1:10" ht="12" customHeight="1">
      <c r="A89" s="14">
        <v>89</v>
      </c>
      <c r="C89" s="32" t="s">
        <v>220</v>
      </c>
      <c r="D89" s="22">
        <f>IF((D2=1),SQRT(F89^2+G89^2),999999999999)</f>
        <v>0.31622776601683794</v>
      </c>
      <c r="E89" s="22">
        <f>ATAN2(F89,G89)*180/PI()</f>
        <v>71.56505117707799</v>
      </c>
      <c r="F89" s="250">
        <f>F87+F88</f>
        <v>0.1</v>
      </c>
      <c r="G89" s="250">
        <f>G87+G88</f>
        <v>0.3</v>
      </c>
      <c r="H89" s="18" t="s">
        <v>290</v>
      </c>
      <c r="I89" s="18" t="s">
        <v>291</v>
      </c>
      <c r="J89" s="32"/>
    </row>
    <row r="90" spans="1:11" ht="12" customHeight="1">
      <c r="A90" s="14">
        <v>90</v>
      </c>
      <c r="C90" s="32" t="s">
        <v>184</v>
      </c>
      <c r="D90" s="6">
        <f>SQRT(F90^2+G90^2)</f>
        <v>1.120292223342305</v>
      </c>
      <c r="E90" s="6">
        <f>ATAN2(F90,G90)*180/PI()</f>
        <v>84.04023494586303</v>
      </c>
      <c r="F90" s="22">
        <f>F84+F89</f>
        <v>0.11632</v>
      </c>
      <c r="G90" s="22">
        <f>G84+G89</f>
        <v>1.1142371037087415</v>
      </c>
      <c r="H90" s="2">
        <v>0</v>
      </c>
      <c r="I90" s="2">
        <v>0</v>
      </c>
      <c r="K90" s="17"/>
    </row>
    <row r="91" spans="1:11" ht="12" customHeight="1">
      <c r="A91" s="14">
        <v>91</v>
      </c>
      <c r="B91" s="32"/>
      <c r="C91" s="32"/>
      <c r="D91" s="109"/>
      <c r="E91" s="22"/>
      <c r="F91" s="109"/>
      <c r="G91" s="109"/>
      <c r="H91" s="237"/>
      <c r="I91" s="237"/>
      <c r="K91" s="17"/>
    </row>
    <row r="92" spans="1:11" ht="12" customHeight="1">
      <c r="A92" s="14">
        <v>92</v>
      </c>
      <c r="B92" s="212" t="s">
        <v>350</v>
      </c>
      <c r="C92" s="212"/>
      <c r="D92" s="213"/>
      <c r="E92" s="213"/>
      <c r="F92" s="213"/>
      <c r="G92" s="213"/>
      <c r="H92" s="213"/>
      <c r="I92" s="213"/>
      <c r="J92" s="214"/>
      <c r="K92" s="213"/>
    </row>
    <row r="93" spans="1:11" ht="12" customHeight="1">
      <c r="A93" s="14">
        <v>93</v>
      </c>
      <c r="C93" s="16" t="s">
        <v>352</v>
      </c>
      <c r="D93" s="17" t="s">
        <v>286</v>
      </c>
      <c r="E93" s="17" t="s">
        <v>362</v>
      </c>
      <c r="F93" s="17" t="s">
        <v>287</v>
      </c>
      <c r="G93" s="17" t="s">
        <v>288</v>
      </c>
      <c r="H93" s="94" t="s">
        <v>297</v>
      </c>
      <c r="J93" s="25"/>
      <c r="K93" s="29"/>
    </row>
    <row r="94" spans="1:11" ht="12" customHeight="1">
      <c r="A94" s="14">
        <v>94</v>
      </c>
      <c r="C94" s="32" t="s">
        <v>221</v>
      </c>
      <c r="D94" s="22">
        <f>(E67*(100+I94))/100</f>
        <v>0.01648</v>
      </c>
      <c r="E94" s="22">
        <v>0</v>
      </c>
      <c r="F94" s="22">
        <f>COS(E94/180*PI())*D94</f>
        <v>0.01648</v>
      </c>
      <c r="G94" s="22">
        <f>SIN(E94/180*PI())*D94</f>
        <v>0</v>
      </c>
      <c r="H94" s="18" t="s">
        <v>292</v>
      </c>
      <c r="I94" s="2">
        <v>3</v>
      </c>
      <c r="J94" s="32"/>
      <c r="K94" s="22"/>
    </row>
    <row r="95" spans="1:11" ht="12" customHeight="1">
      <c r="A95" s="14">
        <v>95</v>
      </c>
      <c r="C95" s="32" t="s">
        <v>222</v>
      </c>
      <c r="D95" s="22">
        <f>(F67*(100+I95))/100</f>
        <v>0.8198359835967192</v>
      </c>
      <c r="E95" s="22">
        <v>90</v>
      </c>
      <c r="F95" s="22">
        <f>COS(E95/180*PI())*D95</f>
        <v>5.022103942910046E-17</v>
      </c>
      <c r="G95" s="22">
        <f>SIN(E95/180*PI())*D95</f>
        <v>0.8198359835967192</v>
      </c>
      <c r="H95" s="18" t="s">
        <v>293</v>
      </c>
      <c r="I95" s="2">
        <v>2.5</v>
      </c>
      <c r="J95" s="32"/>
      <c r="K95" s="22"/>
    </row>
    <row r="96" spans="1:11" ht="12" customHeight="1">
      <c r="A96" s="14">
        <v>96</v>
      </c>
      <c r="C96" s="32" t="s">
        <v>223</v>
      </c>
      <c r="D96" s="22">
        <f>SQRT(F96^2+G96^2)</f>
        <v>0.8200016039008704</v>
      </c>
      <c r="E96" s="22">
        <f>ATAN2(F96,G96)*180/PI()</f>
        <v>88.84841929846456</v>
      </c>
      <c r="F96" s="22">
        <f>F94+F95</f>
        <v>0.01648000000000005</v>
      </c>
      <c r="G96" s="22">
        <f>G94+G95</f>
        <v>0.8198359835967192</v>
      </c>
      <c r="H96" s="17"/>
      <c r="I96" s="17"/>
      <c r="J96" s="32"/>
      <c r="K96" s="22"/>
    </row>
    <row r="97" spans="1:11" ht="12" customHeight="1">
      <c r="A97" s="14">
        <v>97</v>
      </c>
      <c r="C97" s="32"/>
      <c r="D97" s="22"/>
      <c r="E97" s="22"/>
      <c r="F97" s="22"/>
      <c r="G97" s="22"/>
      <c r="H97" s="17"/>
      <c r="I97" s="17"/>
      <c r="J97" s="32"/>
      <c r="K97" s="22"/>
    </row>
    <row r="98" spans="1:11" ht="12" customHeight="1">
      <c r="A98" s="14">
        <v>98</v>
      </c>
      <c r="C98" s="92" t="s">
        <v>317</v>
      </c>
      <c r="D98" s="101" t="s">
        <v>286</v>
      </c>
      <c r="E98" s="101" t="s">
        <v>362</v>
      </c>
      <c r="F98" s="101" t="s">
        <v>287</v>
      </c>
      <c r="G98" s="101" t="s">
        <v>288</v>
      </c>
      <c r="H98" s="50" t="s">
        <v>37</v>
      </c>
      <c r="I98" s="50" t="s">
        <v>38</v>
      </c>
      <c r="J98" s="72" t="s">
        <v>301</v>
      </c>
      <c r="K98" s="93"/>
    </row>
    <row r="99" spans="1:10" ht="12" customHeight="1">
      <c r="A99" s="14">
        <v>99</v>
      </c>
      <c r="C99" s="32" t="s">
        <v>224</v>
      </c>
      <c r="D99" s="22">
        <f>IF((E2=1),SQRT(F99^2+G99^2),999999999999)</f>
        <v>0.2</v>
      </c>
      <c r="E99" s="22">
        <f>ATAN2(F99,G99)*180/PI()</f>
        <v>0</v>
      </c>
      <c r="F99" s="22">
        <f>(H99*(100+H102))/100</f>
        <v>0.2</v>
      </c>
      <c r="G99" s="22">
        <v>0</v>
      </c>
      <c r="H99" s="121">
        <v>0.2</v>
      </c>
      <c r="I99" s="121">
        <v>0.6</v>
      </c>
      <c r="J99" s="94" t="s">
        <v>304</v>
      </c>
    </row>
    <row r="100" spans="1:11" ht="12" customHeight="1">
      <c r="A100" s="14">
        <v>100</v>
      </c>
      <c r="C100" s="32" t="s">
        <v>225</v>
      </c>
      <c r="D100" s="22">
        <f>IF((E2=1),SQRT(F100^2+G100^2),999999999999)</f>
        <v>0.6</v>
      </c>
      <c r="E100" s="22">
        <f>ATAN2(F100,G100)*180/PI()</f>
        <v>90</v>
      </c>
      <c r="F100" s="22">
        <v>0</v>
      </c>
      <c r="G100" s="22">
        <f>(I99*(100+I102))/100</f>
        <v>0.6</v>
      </c>
      <c r="H100" s="72" t="s">
        <v>337</v>
      </c>
      <c r="I100" s="54"/>
      <c r="J100" s="83"/>
      <c r="K100" s="119"/>
    </row>
    <row r="101" spans="1:11" ht="12" customHeight="1">
      <c r="A101" s="14">
        <v>101</v>
      </c>
      <c r="C101" s="32" t="s">
        <v>226</v>
      </c>
      <c r="D101" s="22">
        <f>IF((E2=1),SQRT(F101^2+G101^2),999999999999)</f>
        <v>0.6324555320336759</v>
      </c>
      <c r="E101" s="22">
        <f>ATAN2(F101,G101)*180/PI()</f>
        <v>71.56505117707799</v>
      </c>
      <c r="F101" s="22">
        <f>F99+F100</f>
        <v>0.2</v>
      </c>
      <c r="G101" s="22">
        <f>G99+G100</f>
        <v>0.6</v>
      </c>
      <c r="H101" s="18" t="s">
        <v>292</v>
      </c>
      <c r="I101" s="18" t="s">
        <v>293</v>
      </c>
      <c r="J101" s="32"/>
      <c r="K101" s="37"/>
    </row>
    <row r="102" spans="1:11" ht="12" customHeight="1">
      <c r="A102" s="14">
        <v>102</v>
      </c>
      <c r="C102" s="32" t="s">
        <v>185</v>
      </c>
      <c r="D102" s="6">
        <f>SQRT(F102^2+G102^2)</f>
        <v>1.4362443422746922</v>
      </c>
      <c r="E102" s="6">
        <f>ATAN2(F102,G102)*180/PI()</f>
        <v>81.33097271114903</v>
      </c>
      <c r="F102" s="22">
        <f>F96+F101</f>
        <v>0.21648000000000006</v>
      </c>
      <c r="G102" s="22">
        <f>G96+G101</f>
        <v>1.4198359835967191</v>
      </c>
      <c r="H102" s="2">
        <v>0</v>
      </c>
      <c r="I102" s="2">
        <v>0</v>
      </c>
      <c r="J102" s="38"/>
      <c r="K102" s="38"/>
    </row>
    <row r="103" spans="1:11" ht="12" customHeight="1">
      <c r="A103" s="14">
        <v>103</v>
      </c>
      <c r="B103" s="32"/>
      <c r="C103" s="32"/>
      <c r="D103" s="109"/>
      <c r="E103" s="22"/>
      <c r="F103" s="109"/>
      <c r="G103" s="109"/>
      <c r="H103" s="237"/>
      <c r="I103" s="237"/>
      <c r="K103" s="38"/>
    </row>
    <row r="104" spans="1:11" ht="12" customHeight="1">
      <c r="A104" s="14">
        <v>104</v>
      </c>
      <c r="B104" s="212" t="s">
        <v>350</v>
      </c>
      <c r="C104" s="212"/>
      <c r="D104" s="213"/>
      <c r="E104" s="213"/>
      <c r="F104" s="213"/>
      <c r="G104" s="213"/>
      <c r="H104" s="213"/>
      <c r="I104" s="213"/>
      <c r="J104" s="214"/>
      <c r="K104" s="213"/>
    </row>
    <row r="105" spans="1:11" ht="12" customHeight="1">
      <c r="A105" s="14">
        <v>105</v>
      </c>
      <c r="C105" s="16" t="s">
        <v>353</v>
      </c>
      <c r="D105" s="17" t="s">
        <v>286</v>
      </c>
      <c r="E105" s="17" t="s">
        <v>362</v>
      </c>
      <c r="F105" s="17" t="s">
        <v>287</v>
      </c>
      <c r="G105" s="17" t="s">
        <v>288</v>
      </c>
      <c r="H105" s="94" t="s">
        <v>335</v>
      </c>
      <c r="J105" s="25"/>
      <c r="K105" s="29"/>
    </row>
    <row r="106" spans="1:11" ht="12" customHeight="1">
      <c r="A106" s="14">
        <v>106</v>
      </c>
      <c r="C106" s="32" t="s">
        <v>354</v>
      </c>
      <c r="D106" s="22">
        <f>(E71*(100+I106))/100</f>
        <v>0.016</v>
      </c>
      <c r="E106" s="22">
        <v>0</v>
      </c>
      <c r="F106" s="22">
        <f>COS(E106/180*PI())*D106</f>
        <v>0.016</v>
      </c>
      <c r="G106" s="22">
        <f>SIN(E106/180*PI())*D106</f>
        <v>0</v>
      </c>
      <c r="H106" s="18" t="s">
        <v>294</v>
      </c>
      <c r="I106" s="2">
        <v>0</v>
      </c>
      <c r="J106" s="32"/>
      <c r="K106" s="22"/>
    </row>
    <row r="107" spans="1:11" ht="12" customHeight="1">
      <c r="A107" s="14">
        <v>107</v>
      </c>
      <c r="C107" s="32" t="s">
        <v>355</v>
      </c>
      <c r="D107" s="22">
        <f>(F71*(100+I107))/100</f>
        <v>0.7998399839967992</v>
      </c>
      <c r="E107" s="22">
        <v>90</v>
      </c>
      <c r="F107" s="22">
        <f>COS(E107/180*PI())*D107</f>
        <v>4.89961360283907E-17</v>
      </c>
      <c r="G107" s="22">
        <f>SIN(E107/180*PI())*D107</f>
        <v>0.7998399839967992</v>
      </c>
      <c r="H107" s="18" t="s">
        <v>357</v>
      </c>
      <c r="I107" s="2">
        <v>0</v>
      </c>
      <c r="J107" s="32"/>
      <c r="K107" s="22"/>
    </row>
    <row r="108" spans="1:11" ht="12" customHeight="1">
      <c r="A108" s="14">
        <v>108</v>
      </c>
      <c r="C108" s="32" t="s">
        <v>356</v>
      </c>
      <c r="D108" s="22">
        <f>SQRT(F108^2+G108^2)</f>
        <v>0.8</v>
      </c>
      <c r="E108" s="22">
        <f>ATAN2(F108,G108)*180/PI()</f>
        <v>88.8540080016114</v>
      </c>
      <c r="F108" s="22">
        <f>F106+F107</f>
        <v>0.01600000000000005</v>
      </c>
      <c r="G108" s="22">
        <f>G106+G107</f>
        <v>0.7998399839967992</v>
      </c>
      <c r="H108" s="17"/>
      <c r="I108" s="17"/>
      <c r="J108" s="32"/>
      <c r="K108" s="22"/>
    </row>
    <row r="109" spans="1:11" ht="12" customHeight="1">
      <c r="A109" s="14">
        <v>109</v>
      </c>
      <c r="C109" s="32"/>
      <c r="D109" s="22"/>
      <c r="E109" s="22"/>
      <c r="F109" s="22"/>
      <c r="G109" s="22"/>
      <c r="H109" s="17"/>
      <c r="I109" s="17"/>
      <c r="J109" s="32"/>
      <c r="K109" s="22"/>
    </row>
    <row r="110" spans="1:11" ht="12" customHeight="1">
      <c r="A110" s="14">
        <v>110</v>
      </c>
      <c r="C110" s="92" t="s">
        <v>344</v>
      </c>
      <c r="D110" s="101" t="s">
        <v>286</v>
      </c>
      <c r="E110" s="101" t="s">
        <v>362</v>
      </c>
      <c r="F110" s="101" t="s">
        <v>287</v>
      </c>
      <c r="G110" s="101" t="s">
        <v>288</v>
      </c>
      <c r="H110" s="50" t="s">
        <v>39</v>
      </c>
      <c r="I110" s="50" t="s">
        <v>40</v>
      </c>
      <c r="J110" s="72" t="s">
        <v>301</v>
      </c>
      <c r="K110" s="93"/>
    </row>
    <row r="111" spans="1:10" ht="12" customHeight="1">
      <c r="A111" s="14">
        <v>111</v>
      </c>
      <c r="C111" s="32" t="s">
        <v>227</v>
      </c>
      <c r="D111" s="22">
        <f>IF((F2=1),SQRT(F111^2+G111^2),999999999999)</f>
        <v>0.3</v>
      </c>
      <c r="E111" s="22">
        <f>ATAN2(F111,G111)*180/PI()</f>
        <v>0</v>
      </c>
      <c r="F111" s="22">
        <f>(H111*(100+H114))/100</f>
        <v>0.3</v>
      </c>
      <c r="G111" s="22">
        <v>0</v>
      </c>
      <c r="H111" s="121">
        <v>0.3</v>
      </c>
      <c r="I111" s="121">
        <v>0.9</v>
      </c>
      <c r="J111" s="94" t="s">
        <v>303</v>
      </c>
    </row>
    <row r="112" spans="1:11" ht="12" customHeight="1">
      <c r="A112" s="14">
        <v>112</v>
      </c>
      <c r="C112" s="32" t="s">
        <v>228</v>
      </c>
      <c r="D112" s="22">
        <f>IF((F2=1),SQRT(F112^2+G112^2),999999999999)</f>
        <v>0.9</v>
      </c>
      <c r="E112" s="22">
        <f>ATAN2(F112,G112)*180/PI()</f>
        <v>90</v>
      </c>
      <c r="F112" s="22">
        <v>0</v>
      </c>
      <c r="G112" s="22">
        <f>(I111*(100+I114))/100</f>
        <v>0.9</v>
      </c>
      <c r="H112" s="72" t="s">
        <v>336</v>
      </c>
      <c r="I112" s="54"/>
      <c r="J112" s="83"/>
      <c r="K112" s="119"/>
    </row>
    <row r="113" spans="1:11" ht="12" customHeight="1">
      <c r="A113" s="14">
        <v>113</v>
      </c>
      <c r="C113" s="32" t="s">
        <v>229</v>
      </c>
      <c r="D113" s="22">
        <f>IF((F2=1),SQRT(F113^2+G113^2),999999999999)</f>
        <v>0.9486832980505138</v>
      </c>
      <c r="E113" s="22">
        <f>ATAN2(F113,G113)*180/PI()</f>
        <v>71.56505117707799</v>
      </c>
      <c r="F113" s="22">
        <f>F111+F112</f>
        <v>0.3</v>
      </c>
      <c r="G113" s="22">
        <f>G111+G112</f>
        <v>0.9</v>
      </c>
      <c r="H113" s="18" t="s">
        <v>294</v>
      </c>
      <c r="I113" s="18" t="s">
        <v>293</v>
      </c>
      <c r="J113" s="32"/>
      <c r="K113" s="37"/>
    </row>
    <row r="114" spans="1:11" ht="12" customHeight="1">
      <c r="A114" s="14">
        <v>114</v>
      </c>
      <c r="C114" s="32" t="s">
        <v>186</v>
      </c>
      <c r="D114" s="6">
        <f>SQRT(F114^2+G114^2)</f>
        <v>1.728962686466726</v>
      </c>
      <c r="E114" s="6">
        <f>ATAN2(F114,G114)*180/PI()</f>
        <v>79.46893838623238</v>
      </c>
      <c r="F114" s="22">
        <f>F108+F113</f>
        <v>0.31600000000000006</v>
      </c>
      <c r="G114" s="22">
        <f>G108+G113</f>
        <v>1.6998399839967993</v>
      </c>
      <c r="H114" s="2">
        <v>0</v>
      </c>
      <c r="I114" s="2">
        <v>0</v>
      </c>
      <c r="J114" s="38"/>
      <c r="K114" s="38"/>
    </row>
    <row r="115" ht="12" customHeight="1">
      <c r="A115" s="14">
        <v>115</v>
      </c>
    </row>
    <row r="116" ht="12" customHeight="1">
      <c r="A116" s="14">
        <v>116</v>
      </c>
    </row>
    <row r="117" spans="1:6" ht="12" customHeight="1">
      <c r="A117" s="14">
        <v>117</v>
      </c>
      <c r="B117" s="285" t="s">
        <v>370</v>
      </c>
      <c r="C117" s="104"/>
      <c r="D117" s="78" t="s">
        <v>100</v>
      </c>
      <c r="E117" s="78" t="s">
        <v>101</v>
      </c>
      <c r="F117" s="78" t="s">
        <v>102</v>
      </c>
    </row>
    <row r="118" spans="1:6" ht="12" customHeight="1">
      <c r="A118" s="14">
        <v>118</v>
      </c>
      <c r="B118" s="94" t="s">
        <v>369</v>
      </c>
      <c r="C118" s="40" t="s">
        <v>65</v>
      </c>
      <c r="D118" s="42">
        <f>E61/SQRT(3)</f>
        <v>11.547005383792516</v>
      </c>
      <c r="E118" s="42">
        <f>E65/SQRT(3)</f>
        <v>11.547005383792516</v>
      </c>
      <c r="F118" s="42">
        <f>E69/SQRT(3)</f>
        <v>11.547005383792516</v>
      </c>
    </row>
    <row r="119" spans="1:6" ht="12" customHeight="1">
      <c r="A119" s="14">
        <v>119</v>
      </c>
      <c r="C119" s="32" t="s">
        <v>285</v>
      </c>
      <c r="D119" s="88">
        <f>I4/100*D118*1000</f>
        <v>196.29909152447277</v>
      </c>
      <c r="E119" s="88">
        <f>J4/100*E118*1000</f>
        <v>196.29909152447277</v>
      </c>
      <c r="F119" s="88">
        <f>K4/100*F118*1000</f>
        <v>196.29909152447277</v>
      </c>
    </row>
    <row r="120" spans="1:6" ht="12" customHeight="1">
      <c r="A120" s="14">
        <v>120</v>
      </c>
      <c r="C120" s="43" t="s">
        <v>249</v>
      </c>
      <c r="D120" s="28">
        <f>I2*(I4/100)*D118</f>
        <v>0</v>
      </c>
      <c r="E120" s="28">
        <f>J2*(J4/100)*E118</f>
        <v>0</v>
      </c>
      <c r="F120" s="28">
        <f>K2*(K4/100)*F118</f>
        <v>0</v>
      </c>
    </row>
    <row r="121" spans="1:6" ht="12" customHeight="1">
      <c r="A121" s="14">
        <v>121</v>
      </c>
      <c r="C121" s="40" t="s">
        <v>103</v>
      </c>
      <c r="D121" s="28">
        <f>D118+D120+0.00000000001</f>
        <v>11.547005383802516</v>
      </c>
      <c r="E121" s="28">
        <f>E118+E120</f>
        <v>11.547005383792516</v>
      </c>
      <c r="F121" s="28">
        <f>F118+F120</f>
        <v>11.547005383792516</v>
      </c>
    </row>
    <row r="122" spans="1:11" ht="12" customHeight="1">
      <c r="A122" s="14">
        <v>122</v>
      </c>
      <c r="C122" s="40" t="s">
        <v>363</v>
      </c>
      <c r="D122" s="73">
        <v>0</v>
      </c>
      <c r="E122" s="73">
        <v>0</v>
      </c>
      <c r="F122" s="73">
        <v>0</v>
      </c>
      <c r="G122" s="56"/>
      <c r="H122" s="32"/>
      <c r="I122" s="22"/>
      <c r="J122" s="22"/>
      <c r="K122" s="22"/>
    </row>
    <row r="123" spans="1:11" ht="12" customHeight="1">
      <c r="A123" s="14">
        <v>123</v>
      </c>
      <c r="C123" s="40"/>
      <c r="D123" s="79"/>
      <c r="E123" s="79"/>
      <c r="F123" s="79"/>
      <c r="G123" s="79"/>
      <c r="H123" s="32"/>
      <c r="I123" s="22"/>
      <c r="J123" s="22"/>
      <c r="K123" s="22"/>
    </row>
    <row r="124" spans="1:17" ht="12" customHeight="1">
      <c r="A124" s="14">
        <v>124</v>
      </c>
      <c r="C124" s="16" t="s">
        <v>283</v>
      </c>
      <c r="D124" s="35" t="s">
        <v>262</v>
      </c>
      <c r="E124" s="32" t="s">
        <v>362</v>
      </c>
      <c r="F124" s="33" t="s">
        <v>263</v>
      </c>
      <c r="G124" s="33" t="s">
        <v>264</v>
      </c>
      <c r="H124" s="102"/>
      <c r="I124" s="17"/>
      <c r="J124" s="17"/>
      <c r="K124" s="17"/>
      <c r="L124" s="25"/>
      <c r="M124" s="25"/>
      <c r="N124" s="25"/>
      <c r="O124" s="25"/>
      <c r="P124" s="25"/>
      <c r="Q124" s="25"/>
    </row>
    <row r="125" spans="1:17" ht="12" customHeight="1">
      <c r="A125" s="14">
        <v>125</v>
      </c>
      <c r="C125" s="33" t="s">
        <v>190</v>
      </c>
      <c r="D125" s="40">
        <f>D121*1000</f>
        <v>11547.005383802516</v>
      </c>
      <c r="E125" s="36">
        <v>0</v>
      </c>
      <c r="F125" s="40">
        <f>COS(E125/180*PI())*D125</f>
        <v>11547.005383802516</v>
      </c>
      <c r="G125" s="35">
        <f>SIN(E125/180*PI())*D125</f>
        <v>0</v>
      </c>
      <c r="H125" s="95"/>
      <c r="I125" s="30"/>
      <c r="J125" s="30"/>
      <c r="K125" s="30"/>
      <c r="L125" s="25"/>
      <c r="M125" s="25"/>
      <c r="N125" s="25"/>
      <c r="O125" s="25"/>
      <c r="P125" s="25"/>
      <c r="Q125" s="25"/>
    </row>
    <row r="126" spans="1:17" ht="12" customHeight="1">
      <c r="A126" s="14">
        <v>126</v>
      </c>
      <c r="C126" s="33" t="s">
        <v>191</v>
      </c>
      <c r="D126" s="40">
        <f>E121*1000</f>
        <v>11547.005383792517</v>
      </c>
      <c r="E126" s="36">
        <v>0</v>
      </c>
      <c r="F126" s="40">
        <f>COS(E126/180*PI())*D126</f>
        <v>11547.005383792517</v>
      </c>
      <c r="G126" s="35">
        <f>SIN(E126/180*PI())*D126</f>
        <v>0</v>
      </c>
      <c r="H126" s="103"/>
      <c r="I126" s="30"/>
      <c r="J126" s="30"/>
      <c r="K126" s="30"/>
      <c r="L126" s="20"/>
      <c r="M126" s="20"/>
      <c r="N126" s="20"/>
      <c r="O126" s="20"/>
      <c r="P126" s="20"/>
      <c r="Q126" s="20"/>
    </row>
    <row r="127" spans="1:17" ht="12" customHeight="1">
      <c r="A127" s="14">
        <v>127</v>
      </c>
      <c r="C127" s="33" t="s">
        <v>192</v>
      </c>
      <c r="D127" s="40">
        <f>F121*1000</f>
        <v>11547.005383792517</v>
      </c>
      <c r="E127" s="36">
        <v>0</v>
      </c>
      <c r="F127" s="40">
        <f>COS(E127/180*PI())*D127</f>
        <v>11547.005383792517</v>
      </c>
      <c r="G127" s="35">
        <f>SIN(E127/180*PI())*D127</f>
        <v>0</v>
      </c>
      <c r="H127" s="103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2" ht="12" customHeight="1">
      <c r="A128" s="14">
        <v>128</v>
      </c>
      <c r="C128" s="99" t="s">
        <v>87</v>
      </c>
      <c r="D128" s="82" t="s">
        <v>0</v>
      </c>
      <c r="E128" s="83" t="s">
        <v>362</v>
      </c>
      <c r="F128" s="251" t="s">
        <v>1</v>
      </c>
      <c r="G128" s="251" t="s">
        <v>2</v>
      </c>
      <c r="H128" s="43"/>
      <c r="I128" s="30"/>
      <c r="J128" s="30"/>
      <c r="K128" s="30"/>
      <c r="L128" s="44"/>
    </row>
    <row r="129" spans="1:12" ht="12" customHeight="1">
      <c r="A129" s="14">
        <v>129</v>
      </c>
      <c r="C129" s="32" t="s">
        <v>146</v>
      </c>
      <c r="D129" s="35">
        <f aca="true" t="shared" si="2" ref="D129:D137">SQRT(F129^2+G129^2)</f>
        <v>2.1660893345660077</v>
      </c>
      <c r="E129" s="36">
        <f aca="true" t="shared" si="3" ref="E129:E136">ATAN2(F129,G129)*180/PI()</f>
        <v>-81.94992295352431</v>
      </c>
      <c r="F129" s="35">
        <f>F130+F132+F134</f>
        <v>0.30333601225842016</v>
      </c>
      <c r="G129" s="35">
        <f>G130+G132+G134</f>
        <v>-2.144744802765068</v>
      </c>
      <c r="H129" s="17"/>
      <c r="I129" s="17"/>
      <c r="J129" s="17"/>
      <c r="K129" s="17"/>
      <c r="L129" s="44"/>
    </row>
    <row r="130" spans="1:12" ht="12" customHeight="1">
      <c r="A130" s="14">
        <v>130</v>
      </c>
      <c r="C130" s="32" t="s">
        <v>41</v>
      </c>
      <c r="D130" s="35">
        <f t="shared" si="2"/>
        <v>0.8926242449640306</v>
      </c>
      <c r="E130" s="36">
        <f t="shared" si="3"/>
        <v>-84.04023494586303</v>
      </c>
      <c r="F130" s="35">
        <f>COS((0-E90)/180*PI())*1/D90</f>
        <v>0.09268122192658555</v>
      </c>
      <c r="G130" s="35">
        <f>SIN((0-E90)/180*PI())*1/D90</f>
        <v>-0.8877996585941</v>
      </c>
      <c r="H130" s="17"/>
      <c r="L130" s="44"/>
    </row>
    <row r="131" spans="1:12" ht="12" customHeight="1">
      <c r="A131" s="14">
        <v>131</v>
      </c>
      <c r="C131" s="32" t="s">
        <v>193</v>
      </c>
      <c r="D131" s="36">
        <f t="shared" si="2"/>
        <v>10307.136962312317</v>
      </c>
      <c r="E131" s="36">
        <f t="shared" si="3"/>
        <v>-84.04023494586303</v>
      </c>
      <c r="F131" s="40">
        <f>COS((E125+E130)/180*PI())*D125*D130</f>
        <v>1070.190568563679</v>
      </c>
      <c r="G131" s="40">
        <f>SIN((E125+E130)/180*PI())*D125*D130</f>
        <v>-10251.42743752411</v>
      </c>
      <c r="H131" s="17"/>
      <c r="L131" s="44"/>
    </row>
    <row r="132" spans="1:12" ht="12" customHeight="1">
      <c r="A132" s="14">
        <v>132</v>
      </c>
      <c r="C132" s="32" t="s">
        <v>144</v>
      </c>
      <c r="D132" s="35">
        <f t="shared" si="2"/>
        <v>0.6962603580503732</v>
      </c>
      <c r="E132" s="36">
        <f t="shared" si="3"/>
        <v>-81.33097271114903</v>
      </c>
      <c r="F132" s="35">
        <f>COS((0-E102)/180*PI())*1/D102</f>
        <v>0.1049448466909381</v>
      </c>
      <c r="G132" s="35">
        <f>SIN((0-E102)/180*PI())*1/D102</f>
        <v>-0.688305938769563</v>
      </c>
      <c r="H132" s="17"/>
      <c r="I132" s="31"/>
      <c r="L132" s="44"/>
    </row>
    <row r="133" spans="1:12" ht="12" customHeight="1">
      <c r="A133" s="14">
        <v>133</v>
      </c>
      <c r="C133" s="32" t="s">
        <v>194</v>
      </c>
      <c r="D133" s="36">
        <f t="shared" si="2"/>
        <v>8039.722102928965</v>
      </c>
      <c r="E133" s="36">
        <f t="shared" si="3"/>
        <v>-81.33097271114903</v>
      </c>
      <c r="F133" s="40">
        <f>COS((E126+E132)/180*PI())*D126*D132</f>
        <v>1211.7987097415426</v>
      </c>
      <c r="G133" s="40">
        <f>SIN((E126+E132)/180*PI())*D126*D132</f>
        <v>-7947.872380668507</v>
      </c>
      <c r="H133" s="17"/>
      <c r="L133" s="44"/>
    </row>
    <row r="134" spans="1:12" ht="12" customHeight="1">
      <c r="A134" s="14">
        <v>134</v>
      </c>
      <c r="C134" s="32" t="s">
        <v>145</v>
      </c>
      <c r="D134" s="35">
        <f t="shared" si="2"/>
        <v>0.5783814814671219</v>
      </c>
      <c r="E134" s="36">
        <f t="shared" si="3"/>
        <v>-79.46893838623238</v>
      </c>
      <c r="F134" s="35">
        <f>COS((0-E114)/180*PI())*1/D114</f>
        <v>0.10570994364089652</v>
      </c>
      <c r="G134" s="35">
        <f>SIN((0-E114)/180*PI())*1/D114</f>
        <v>-0.5686392054014049</v>
      </c>
      <c r="H134" s="17"/>
      <c r="I134" s="17"/>
      <c r="L134" s="44"/>
    </row>
    <row r="135" spans="1:9" ht="12" customHeight="1">
      <c r="A135" s="14">
        <v>135</v>
      </c>
      <c r="C135" s="32" t="s">
        <v>195</v>
      </c>
      <c r="D135" s="36">
        <f t="shared" si="2"/>
        <v>6678.574080386748</v>
      </c>
      <c r="E135" s="36">
        <f t="shared" si="3"/>
        <v>-79.46893838623238</v>
      </c>
      <c r="F135" s="40">
        <f>COS((E127+E134)/180*PI())*D127*D134</f>
        <v>1220.6332883418356</v>
      </c>
      <c r="G135" s="40">
        <f>SIN((E127+E134)/180*PI())*D127*D134</f>
        <v>-6566.0799662055215</v>
      </c>
      <c r="H135" s="17"/>
      <c r="I135" s="17"/>
    </row>
    <row r="136" spans="1:11" ht="12" customHeight="1">
      <c r="A136" s="14">
        <v>136</v>
      </c>
      <c r="C136" s="32" t="s">
        <v>165</v>
      </c>
      <c r="D136" s="88">
        <f t="shared" si="2"/>
        <v>25011.845208018163</v>
      </c>
      <c r="E136" s="36">
        <f t="shared" si="3"/>
        <v>-81.94992295352505</v>
      </c>
      <c r="F136" s="88">
        <f>F131+F133+F135</f>
        <v>3502.6225666470573</v>
      </c>
      <c r="G136" s="88">
        <f>G131+G133+G135</f>
        <v>-24765.379784398137</v>
      </c>
      <c r="H136" s="17"/>
      <c r="K136" s="32"/>
    </row>
    <row r="137" spans="1:11" ht="12" customHeight="1">
      <c r="A137" s="14">
        <v>137</v>
      </c>
      <c r="C137" s="32" t="s">
        <v>196</v>
      </c>
      <c r="D137" s="97">
        <f t="shared" si="2"/>
        <v>11547.005383796635</v>
      </c>
      <c r="E137" s="74">
        <f>ATAN2(F137,G137)*180/PI()</f>
        <v>-7.389644451905041E-13</v>
      </c>
      <c r="F137" s="97">
        <f>COS((E136-E129)/180*PI())*D136/D129</f>
        <v>11547.005383796635</v>
      </c>
      <c r="G137" s="81">
        <f>SIN((E136-E129)/180*PI())*D136/D129</f>
        <v>-1.4892591565318958E-10</v>
      </c>
      <c r="H137" s="17"/>
      <c r="I137" s="17"/>
      <c r="J137" s="32"/>
      <c r="K137" s="17"/>
    </row>
    <row r="138" spans="1:11" ht="12" customHeight="1">
      <c r="A138" s="14">
        <v>138</v>
      </c>
      <c r="B138" s="32"/>
      <c r="C138" s="32"/>
      <c r="D138" s="109"/>
      <c r="E138" s="22"/>
      <c r="F138" s="109"/>
      <c r="G138" s="109"/>
      <c r="H138" s="237"/>
      <c r="I138" s="237"/>
      <c r="K138" s="17"/>
    </row>
    <row r="139" spans="1:11" ht="12" customHeight="1">
      <c r="A139" s="14">
        <v>139</v>
      </c>
      <c r="B139" s="212" t="s">
        <v>125</v>
      </c>
      <c r="C139" s="212"/>
      <c r="D139" s="213"/>
      <c r="E139" s="213"/>
      <c r="F139" s="213"/>
      <c r="G139" s="213"/>
      <c r="H139" s="213"/>
      <c r="I139" s="213"/>
      <c r="J139" s="214"/>
      <c r="K139" s="213"/>
    </row>
    <row r="140" spans="1:9" ht="12" customHeight="1">
      <c r="A140" s="14">
        <v>140</v>
      </c>
      <c r="C140" s="32" t="s">
        <v>93</v>
      </c>
      <c r="D140" s="35">
        <f>D12</f>
        <v>4.3</v>
      </c>
      <c r="E140" s="36">
        <f>E12</f>
        <v>30.683417108975817</v>
      </c>
      <c r="F140" s="36">
        <f>F12</f>
        <v>3.6980000000000004</v>
      </c>
      <c r="G140" s="36">
        <f>G12</f>
        <v>2.1942643414137684</v>
      </c>
      <c r="H140" s="30"/>
      <c r="I140" s="30"/>
    </row>
    <row r="141" spans="1:9" ht="12" customHeight="1">
      <c r="A141" s="14">
        <v>141</v>
      </c>
      <c r="C141" s="32" t="s">
        <v>94</v>
      </c>
      <c r="D141" s="35">
        <f>SQRT(F141^2+G141^2)</f>
        <v>0.23255813953488375</v>
      </c>
      <c r="E141" s="36">
        <f>ATAN2(F141,G141)*180/PI()</f>
        <v>-30.683417108975817</v>
      </c>
      <c r="F141" s="35">
        <f>COS((0-E140)/180*PI())*1/D140</f>
        <v>0.20000000000000004</v>
      </c>
      <c r="G141" s="35">
        <f>SIN((0-E140)/180*PI())*1/D140</f>
        <v>-0.11867303090393556</v>
      </c>
      <c r="H141" s="17"/>
      <c r="I141" s="17"/>
    </row>
    <row r="142" spans="1:11" ht="12" customHeight="1">
      <c r="A142" s="14">
        <v>142</v>
      </c>
      <c r="C142" s="32" t="s">
        <v>148</v>
      </c>
      <c r="D142" s="35">
        <f>SQRT(F142^2+G142^2)</f>
        <v>2.3187081383837627</v>
      </c>
      <c r="E142" s="36">
        <f>ATAN2(F142,G142)*180/PI()</f>
        <v>-77.46264662827522</v>
      </c>
      <c r="F142" s="35">
        <f>F129+F141</f>
        <v>0.5033360122584202</v>
      </c>
      <c r="G142" s="35">
        <f>G129+G141</f>
        <v>-2.2634178336690036</v>
      </c>
      <c r="H142" s="17"/>
      <c r="I142" s="17"/>
      <c r="K142" s="256" t="s">
        <v>371</v>
      </c>
    </row>
    <row r="143" spans="1:11" ht="12" customHeight="1">
      <c r="A143" s="14">
        <v>143</v>
      </c>
      <c r="C143" s="32" t="s">
        <v>197</v>
      </c>
      <c r="D143" s="36">
        <f>SQRT(F143^2+G143^2)</f>
        <v>2685.3500892550314</v>
      </c>
      <c r="E143" s="36">
        <f>ATAN2(F143,G143)*180/PI()</f>
        <v>-30.68341710897656</v>
      </c>
      <c r="F143" s="40">
        <f>COS((E137+E141)/180*PI())*D137*D141</f>
        <v>2309.4010767593095</v>
      </c>
      <c r="G143" s="40">
        <f>SIN((E137+E141)/180*PI())*D137*D141</f>
        <v>-1370.3181267592383</v>
      </c>
      <c r="H143" s="17"/>
      <c r="I143" s="17"/>
      <c r="K143" s="28">
        <v>0.33021670640247436</v>
      </c>
    </row>
    <row r="144" spans="1:9" ht="12" customHeight="1">
      <c r="A144" s="14">
        <v>144</v>
      </c>
      <c r="C144" s="32" t="s">
        <v>180</v>
      </c>
      <c r="D144" s="36">
        <f>SQRT(F144^2+G144^2)</f>
        <v>5816.7081879112</v>
      </c>
      <c r="E144" s="36">
        <f>ATAN2(F144,G144)*180/PI()</f>
        <v>-112.63334006250086</v>
      </c>
      <c r="F144" s="40">
        <f>COS((E143+E129)/180*PI())*D143*D129</f>
        <v>-2238.45816717217</v>
      </c>
      <c r="G144" s="40">
        <f>SIN((E143+E129)/180*PI())*D143*D129</f>
        <v>-5368.742792976155</v>
      </c>
      <c r="H144" s="252" t="s">
        <v>373</v>
      </c>
      <c r="I144" s="17"/>
    </row>
    <row r="145" spans="1:11" ht="12" customHeight="1">
      <c r="A145" s="14">
        <v>145</v>
      </c>
      <c r="C145" s="32" t="s">
        <v>147</v>
      </c>
      <c r="D145" s="74">
        <f>SQRT(F145^2+G145^2)</f>
        <v>2508.5986854584</v>
      </c>
      <c r="E145" s="74">
        <f>ATAN2(F145,G145)*180/PI()</f>
        <v>-35.17069343422563</v>
      </c>
      <c r="F145" s="74">
        <f>COS((E144-E142)/180*PI())*D144/D142</f>
        <v>2050.6279920209204</v>
      </c>
      <c r="G145" s="74">
        <f>SIN((E144-E142)/180*PI())*D144/D142</f>
        <v>-1444.9886515207859</v>
      </c>
      <c r="H145" s="253" t="s">
        <v>18</v>
      </c>
      <c r="I145" s="254" t="s">
        <v>19</v>
      </c>
      <c r="J145" s="254" t="s">
        <v>20</v>
      </c>
      <c r="K145" s="255"/>
    </row>
    <row r="146" spans="1:11" ht="12" customHeight="1">
      <c r="A146" s="14">
        <v>146</v>
      </c>
      <c r="H146" s="276">
        <f>I2</f>
        <v>0</v>
      </c>
      <c r="I146" s="277">
        <f>J2</f>
        <v>0</v>
      </c>
      <c r="J146" s="277">
        <f>K2</f>
        <v>0</v>
      </c>
      <c r="K146" s="96">
        <f>IF((H146+I146+J146=3),G23,"")</f>
      </c>
    </row>
    <row r="147" spans="1:11" ht="12" customHeight="1">
      <c r="A147" s="14">
        <v>147</v>
      </c>
      <c r="B147" s="31" t="s">
        <v>96</v>
      </c>
      <c r="C147" s="31"/>
      <c r="D147" s="69" t="s">
        <v>0</v>
      </c>
      <c r="E147" s="68" t="s">
        <v>362</v>
      </c>
      <c r="F147" s="78" t="s">
        <v>1</v>
      </c>
      <c r="G147" s="78" t="s">
        <v>2</v>
      </c>
      <c r="H147" s="51"/>
      <c r="K147" s="96"/>
    </row>
    <row r="148" spans="1:11" ht="12" customHeight="1">
      <c r="A148" s="14">
        <v>148</v>
      </c>
      <c r="C148" s="32" t="s">
        <v>113</v>
      </c>
      <c r="D148" s="20">
        <f aca="true" t="shared" si="4" ref="D148:D154">SQRT(F148^2+G148^2)</f>
        <v>1033.769001024933</v>
      </c>
      <c r="E148" s="20">
        <f aca="true" t="shared" si="5" ref="E148:E154">ATAN2(F148,G148)*180/PI()</f>
        <v>-37.26100542656436</v>
      </c>
      <c r="F148" s="20">
        <f>COS((E145+E149)/180*PI())*D145*D149</f>
        <v>822.7619881955455</v>
      </c>
      <c r="G148" s="20">
        <f>SIN((E145+E149)/180*PI())*D145*D149</f>
        <v>-625.8922097778506</v>
      </c>
      <c r="H148" s="220">
        <f>I2</f>
        <v>0</v>
      </c>
      <c r="I148" s="30">
        <f>J2</f>
        <v>0</v>
      </c>
      <c r="J148" s="30">
        <f>K2</f>
        <v>0</v>
      </c>
      <c r="K148" s="280">
        <f>IF((H148-I148-J148=1),G23,"")</f>
      </c>
    </row>
    <row r="149" spans="1:9" ht="12" customHeight="1">
      <c r="A149" s="14">
        <v>149</v>
      </c>
      <c r="C149" s="32" t="s">
        <v>85</v>
      </c>
      <c r="D149" s="198">
        <f t="shared" si="4"/>
        <v>0.41209022671397555</v>
      </c>
      <c r="E149" s="198">
        <f t="shared" si="5"/>
        <v>-2.0903119923387266</v>
      </c>
      <c r="F149" s="22">
        <f>COS((E130-E129)/180*PI())*D130/D129</f>
        <v>0.4118160117771323</v>
      </c>
      <c r="G149" s="22">
        <f>SIN((E130-E129)/180*PI())*D130/D129</f>
        <v>-0.01503088144962265</v>
      </c>
      <c r="H149" s="269">
        <f>D149*K143</f>
        <v>0.13607907740613795</v>
      </c>
      <c r="I149" s="30"/>
    </row>
    <row r="150" spans="1:11" ht="12" customHeight="1">
      <c r="A150" s="14">
        <v>150</v>
      </c>
      <c r="C150" s="32" t="s">
        <v>114</v>
      </c>
      <c r="D150" s="64">
        <f t="shared" si="4"/>
        <v>806.3553940594576</v>
      </c>
      <c r="E150" s="64">
        <f t="shared" si="5"/>
        <v>-34.55174319185035</v>
      </c>
      <c r="F150" s="64">
        <f>COS((E145+E151)/180*PI())*D145*D151</f>
        <v>664.125863544773</v>
      </c>
      <c r="G150" s="64">
        <f>SIN((E145+E151)/180*PI())*D145*D151</f>
        <v>-457.3246755858388</v>
      </c>
      <c r="H150" s="220">
        <f>I2</f>
        <v>0</v>
      </c>
      <c r="I150" s="30">
        <f>J2</f>
        <v>0</v>
      </c>
      <c r="J150" s="30">
        <f>K2</f>
        <v>0</v>
      </c>
      <c r="K150" s="96">
        <f>IF((-H150+I150-J150=1),G23,"")</f>
      </c>
    </row>
    <row r="151" spans="1:9" ht="12" customHeight="1">
      <c r="A151" s="14">
        <v>151</v>
      </c>
      <c r="C151" s="32" t="s">
        <v>142</v>
      </c>
      <c r="D151" s="198">
        <f t="shared" si="4"/>
        <v>0.3214365847888145</v>
      </c>
      <c r="E151" s="198">
        <f t="shared" si="5"/>
        <v>0.6189502423752771</v>
      </c>
      <c r="F151" s="22">
        <f>COS((E132-E129)/180*PI())*D132/D129</f>
        <v>0.321417829347141</v>
      </c>
      <c r="G151" s="22">
        <f>SIN((E132-E129)/180*PI())*D132/D129</f>
        <v>0.0034723217691997065</v>
      </c>
      <c r="H151" s="51"/>
      <c r="I151" s="96">
        <f>K143*D151</f>
        <v>0.106143730346222</v>
      </c>
    </row>
    <row r="152" spans="1:11" ht="12" customHeight="1">
      <c r="A152" s="14">
        <v>152</v>
      </c>
      <c r="C152" s="32" t="s">
        <v>70</v>
      </c>
      <c r="D152" s="64">
        <f t="shared" si="4"/>
        <v>669.837111954853</v>
      </c>
      <c r="E152" s="64">
        <f t="shared" si="5"/>
        <v>-32.68970886693371</v>
      </c>
      <c r="F152" s="64">
        <f>COS((E145+E153)/180*PI())*D145*D153</f>
        <v>563.7401402806028</v>
      </c>
      <c r="G152" s="64">
        <f>SIN((E145+E153)/180*PI())*D145*D153</f>
        <v>-361.77176615709595</v>
      </c>
      <c r="H152" s="52">
        <f>I2</f>
        <v>0</v>
      </c>
      <c r="I152" s="30">
        <f>J2</f>
        <v>0</v>
      </c>
      <c r="J152" s="30">
        <f>K2</f>
        <v>0</v>
      </c>
      <c r="K152" s="96">
        <f>IF((-H152-I152+J152=1),G23,"")</f>
      </c>
    </row>
    <row r="153" spans="1:10" ht="12" customHeight="1">
      <c r="A153" s="14">
        <v>153</v>
      </c>
      <c r="C153" s="32" t="s">
        <v>143</v>
      </c>
      <c r="D153" s="198">
        <f t="shared" si="4"/>
        <v>0.2670164486004475</v>
      </c>
      <c r="E153" s="198">
        <f t="shared" si="5"/>
        <v>2.480984567291926</v>
      </c>
      <c r="F153" s="20">
        <f>COS((E134-E129)/180*PI())*D134/D129</f>
        <v>0.2667661588757268</v>
      </c>
      <c r="G153" s="20">
        <f>SIN((E134-E129)/180*PI())*D134/D129</f>
        <v>0.011558559680423186</v>
      </c>
      <c r="H153" s="51"/>
      <c r="J153" s="96">
        <f>K143*D153</f>
        <v>0.08817329221212536</v>
      </c>
    </row>
    <row r="154" spans="1:11" ht="12" customHeight="1">
      <c r="A154" s="14">
        <v>154</v>
      </c>
      <c r="C154" s="32" t="s">
        <v>104</v>
      </c>
      <c r="D154" s="64">
        <f t="shared" si="4"/>
        <v>2508.5986854584003</v>
      </c>
      <c r="E154" s="64">
        <f t="shared" si="5"/>
        <v>-35.17069343422562</v>
      </c>
      <c r="F154" s="64">
        <f>F148+F150+F152</f>
        <v>2050.6279920209213</v>
      </c>
      <c r="G154" s="64">
        <f>G148+G150+G152</f>
        <v>-1444.9886515207854</v>
      </c>
      <c r="H154" s="51"/>
      <c r="I154" s="15" t="s">
        <v>342</v>
      </c>
      <c r="K154" s="33">
        <f>H149+I151+J153</f>
        <v>0.33039609996448527</v>
      </c>
    </row>
    <row r="155" spans="1:11" ht="12" customHeight="1">
      <c r="A155" s="14">
        <v>155</v>
      </c>
      <c r="C155" s="32"/>
      <c r="D155" s="64"/>
      <c r="E155" s="64"/>
      <c r="F155" s="64"/>
      <c r="G155" s="64"/>
      <c r="H155" s="104"/>
      <c r="K155" s="33"/>
    </row>
    <row r="156" spans="1:11" ht="12" customHeight="1">
      <c r="A156" s="14">
        <v>156</v>
      </c>
      <c r="B156" s="212" t="s">
        <v>43</v>
      </c>
      <c r="C156" s="212"/>
      <c r="D156" s="213"/>
      <c r="E156" s="213"/>
      <c r="F156" s="213"/>
      <c r="G156" s="213"/>
      <c r="H156" s="213"/>
      <c r="I156" s="213"/>
      <c r="J156" s="214"/>
      <c r="K156" s="213"/>
    </row>
    <row r="157" spans="1:11" ht="12" customHeight="1">
      <c r="A157" s="14">
        <v>157</v>
      </c>
      <c r="C157" s="32" t="s">
        <v>198</v>
      </c>
      <c r="D157" s="40">
        <f aca="true" t="shared" si="6" ref="D157:D165">SQRT(F157^2+G157^2)</f>
        <v>8039.722102935928</v>
      </c>
      <c r="E157" s="36">
        <f aca="true" t="shared" si="7" ref="E157:E170">ATAN2(F157,G157)*180/PI()</f>
        <v>-81.33097271114903</v>
      </c>
      <c r="F157" s="36">
        <f>COS((E125+E132)/180*PI())*D125*D132</f>
        <v>1211.798709742592</v>
      </c>
      <c r="G157" s="36">
        <f>SIN((E125+E132)/180*PI())*D125*D132</f>
        <v>-7947.87238067539</v>
      </c>
      <c r="H157" s="17"/>
      <c r="I157" s="17"/>
      <c r="J157" s="25"/>
      <c r="K157" s="25"/>
    </row>
    <row r="158" spans="1:11" ht="12" customHeight="1">
      <c r="A158" s="14">
        <v>158</v>
      </c>
      <c r="C158" s="32" t="s">
        <v>199</v>
      </c>
      <c r="D158" s="40">
        <f t="shared" si="6"/>
        <v>6678.574080392531</v>
      </c>
      <c r="E158" s="36">
        <f t="shared" si="7"/>
        <v>-79.46893838623238</v>
      </c>
      <c r="F158" s="36">
        <f>COS((E125+E134)/180*PI())*D125*D134</f>
        <v>1220.6332883428927</v>
      </c>
      <c r="G158" s="36">
        <f>SIN((E125+E134)/180*PI())*D125*D134</f>
        <v>-6566.079966211207</v>
      </c>
      <c r="H158" s="17"/>
      <c r="I158" s="17"/>
      <c r="J158" s="25"/>
      <c r="K158" s="22"/>
    </row>
    <row r="159" spans="1:12" ht="12" customHeight="1">
      <c r="A159" s="14">
        <v>159</v>
      </c>
      <c r="C159" s="32" t="s">
        <v>200</v>
      </c>
      <c r="D159" s="40">
        <f t="shared" si="6"/>
        <v>1.2742736080136312E-08</v>
      </c>
      <c r="E159" s="36">
        <f t="shared" si="7"/>
        <v>-80.4842304087464</v>
      </c>
      <c r="F159" s="40">
        <f>F157+F158-F133-F135</f>
        <v>2.106617102981545E-09</v>
      </c>
      <c r="G159" s="40">
        <f>G157+G158-(G133+G135)</f>
        <v>-1.2567397789098322E-08</v>
      </c>
      <c r="H159" s="17"/>
      <c r="I159" s="17"/>
      <c r="J159" s="18"/>
      <c r="K159" s="41"/>
      <c r="L159" s="41"/>
    </row>
    <row r="160" spans="1:10" ht="12" customHeight="1">
      <c r="A160" s="14">
        <v>160</v>
      </c>
      <c r="C160" s="32" t="s">
        <v>157</v>
      </c>
      <c r="D160" s="36">
        <f t="shared" si="6"/>
        <v>1.1374475172307585E-08</v>
      </c>
      <c r="E160" s="36">
        <f t="shared" si="7"/>
        <v>-164.52446535460945</v>
      </c>
      <c r="F160" s="96">
        <f>COS((E130+E159)/180*PI())*D130*D159</f>
        <v>-1.0962087619341965E-08</v>
      </c>
      <c r="G160" s="96">
        <f>SIN((E130+E159)/180*PI())*D130*D159</f>
        <v>-3.035015728346611E-09</v>
      </c>
      <c r="H160" s="257" t="s">
        <v>164</v>
      </c>
      <c r="I160" s="17"/>
      <c r="J160" s="22"/>
    </row>
    <row r="161" spans="1:11" ht="12" customHeight="1">
      <c r="A161" s="14">
        <v>161</v>
      </c>
      <c r="C161" s="32" t="s">
        <v>115</v>
      </c>
      <c r="D161" s="75">
        <f t="shared" si="6"/>
        <v>5.2071199478578835E-09</v>
      </c>
      <c r="E161" s="75">
        <f>ATAN2(F161,G161)*180/PI()</f>
        <v>-90</v>
      </c>
      <c r="F161" s="96">
        <f>TRUNC((COS((E160-E129)/180*PI())*D160/D129),2)</f>
        <v>0</v>
      </c>
      <c r="G161" s="96">
        <f>(SIN((E160-E129)/180*PI())*D160/D129)</f>
        <v>-5.2071199478578835E-09</v>
      </c>
      <c r="H161" s="17">
        <f>SIGN(E161)</f>
        <v>-1</v>
      </c>
      <c r="I161" s="17"/>
      <c r="J161" s="35"/>
      <c r="K161" s="34"/>
    </row>
    <row r="162" spans="1:11" ht="12" customHeight="1">
      <c r="A162" s="14">
        <v>162</v>
      </c>
      <c r="C162" s="32" t="s">
        <v>201</v>
      </c>
      <c r="D162" s="40">
        <f t="shared" si="6"/>
        <v>10307.136962303392</v>
      </c>
      <c r="E162" s="36">
        <f t="shared" si="7"/>
        <v>-84.04023494586303</v>
      </c>
      <c r="F162" s="40">
        <f>COS((E126+E130)/180*PI())*D126*D130</f>
        <v>1070.1905685627523</v>
      </c>
      <c r="G162" s="40">
        <f>SIN((E126+E130)/180*PI())*D126*D130</f>
        <v>-10251.427437515233</v>
      </c>
      <c r="H162" s="39"/>
      <c r="I162" s="17"/>
      <c r="J162" s="25"/>
      <c r="K162" s="25"/>
    </row>
    <row r="163" spans="1:11" ht="12" customHeight="1">
      <c r="A163" s="14">
        <v>163</v>
      </c>
      <c r="C163" s="32" t="s">
        <v>202</v>
      </c>
      <c r="D163" s="40">
        <f t="shared" si="6"/>
        <v>6678.574080386748</v>
      </c>
      <c r="E163" s="36">
        <f t="shared" si="7"/>
        <v>-79.46893838623238</v>
      </c>
      <c r="F163" s="40">
        <f>COS((E126+E134)/180*PI())*D126*D134</f>
        <v>1220.6332883418356</v>
      </c>
      <c r="G163" s="40">
        <f>SIN((E126+E134)/180*PI())*D126*D134</f>
        <v>-6566.0799662055215</v>
      </c>
      <c r="H163" s="39"/>
      <c r="I163" s="17"/>
      <c r="J163" s="25"/>
      <c r="K163" s="22"/>
    </row>
    <row r="164" spans="1:11" ht="12" customHeight="1">
      <c r="A164" s="14">
        <v>164</v>
      </c>
      <c r="C164" s="32" t="s">
        <v>203</v>
      </c>
      <c r="D164" s="36">
        <f>(SQRT(F164^2+G164^2))</f>
        <v>8.92491747896654E-09</v>
      </c>
      <c r="E164" s="36">
        <f t="shared" si="7"/>
        <v>95.9604134465952</v>
      </c>
      <c r="F164" s="36">
        <f>F162+F163-F131-F135</f>
        <v>-9.267751011066139E-10</v>
      </c>
      <c r="G164" s="36">
        <f>(G162+G163)-(G131+G135)</f>
        <v>8.87666828930378E-09</v>
      </c>
      <c r="H164" s="39"/>
      <c r="I164" s="17"/>
      <c r="J164" s="18"/>
      <c r="K164" s="41"/>
    </row>
    <row r="165" spans="1:12" ht="12" customHeight="1">
      <c r="A165" s="14">
        <v>165</v>
      </c>
      <c r="C165" s="32" t="s">
        <v>166</v>
      </c>
      <c r="D165" s="36">
        <f t="shared" si="6"/>
        <v>6.214066239475278E-09</v>
      </c>
      <c r="E165" s="36">
        <f t="shared" si="7"/>
        <v>14.62944073544617</v>
      </c>
      <c r="F165" s="36">
        <f>COS((E132+E164)/180*PI())*D132*D164</f>
        <v>6.012603229112637E-09</v>
      </c>
      <c r="G165" s="36">
        <f>SIN((E132+E164)/180*PI())*D132*D164</f>
        <v>1.5694653987427404E-09</v>
      </c>
      <c r="H165" s="257" t="s">
        <v>164</v>
      </c>
      <c r="I165" s="17"/>
      <c r="J165" s="22"/>
      <c r="L165" s="41"/>
    </row>
    <row r="166" spans="1:11" ht="12" customHeight="1">
      <c r="A166" s="14">
        <v>166</v>
      </c>
      <c r="C166" s="32" t="s">
        <v>116</v>
      </c>
      <c r="D166" s="75">
        <f aca="true" t="shared" si="8" ref="D166:D171">SQRT(F166^2+G166^2)</f>
        <v>3.2870468982957827E-10</v>
      </c>
      <c r="E166" s="75">
        <f>ATAN2(F166,G166)*180/PI()</f>
        <v>180</v>
      </c>
      <c r="F166" s="36">
        <f>COS((E165-E129)/180*PI())*D165/D129</f>
        <v>-3.2870468982957827E-10</v>
      </c>
      <c r="G166" s="36">
        <f>TRUNC((SIN((E165-E129)/180*PI())*D165/D129),2)</f>
        <v>0</v>
      </c>
      <c r="H166" s="17">
        <f>SIGN(E166)</f>
        <v>1</v>
      </c>
      <c r="I166" s="17"/>
      <c r="J166" s="35"/>
      <c r="K166" s="34"/>
    </row>
    <row r="167" spans="1:11" ht="12" customHeight="1">
      <c r="A167" s="14">
        <v>167</v>
      </c>
      <c r="C167" s="32" t="s">
        <v>204</v>
      </c>
      <c r="D167" s="40">
        <f t="shared" si="8"/>
        <v>10307.136962303392</v>
      </c>
      <c r="E167" s="36">
        <f t="shared" si="7"/>
        <v>-84.04023494586303</v>
      </c>
      <c r="F167" s="36">
        <f>COS((E127+E130)/180*PI())*D127*D130</f>
        <v>1070.1905685627523</v>
      </c>
      <c r="G167" s="36">
        <f>SIN((E127+E130)/180*PI())*D127*D130</f>
        <v>-10251.427437515233</v>
      </c>
      <c r="H167" s="17"/>
      <c r="I167" s="17"/>
      <c r="J167" s="25"/>
      <c r="K167" s="25"/>
    </row>
    <row r="168" spans="1:11" ht="12" customHeight="1">
      <c r="A168" s="14">
        <v>168</v>
      </c>
      <c r="C168" s="32" t="s">
        <v>205</v>
      </c>
      <c r="D168" s="40">
        <f t="shared" si="8"/>
        <v>8039.722102928965</v>
      </c>
      <c r="E168" s="36">
        <f t="shared" si="7"/>
        <v>-81.33097271114903</v>
      </c>
      <c r="F168" s="40">
        <f>COS((E127+E132)/180*PI())*D127*D132</f>
        <v>1211.7987097415426</v>
      </c>
      <c r="G168" s="40">
        <f>SIN((E127+E132)/180*PI())*D127*D132</f>
        <v>-7947.872380668507</v>
      </c>
      <c r="H168" s="17"/>
      <c r="I168" s="17"/>
      <c r="J168" s="25"/>
      <c r="K168" s="22"/>
    </row>
    <row r="169" spans="1:11" ht="12" customHeight="1">
      <c r="A169" s="14">
        <v>169</v>
      </c>
      <c r="C169" s="32" t="s">
        <v>206</v>
      </c>
      <c r="D169" s="36">
        <f t="shared" si="8"/>
        <v>8.924893871051866E-09</v>
      </c>
      <c r="E169" s="36">
        <f t="shared" si="7"/>
        <v>95.95896165079427</v>
      </c>
      <c r="F169" s="36">
        <f>F167+F168-F131-F133</f>
        <v>-9.265477274311706E-10</v>
      </c>
      <c r="G169" s="36">
        <f>G167+G168-G131-G133</f>
        <v>8.87666828930378E-09</v>
      </c>
      <c r="H169" s="17"/>
      <c r="I169" s="17"/>
      <c r="J169" s="18"/>
      <c r="K169" s="41"/>
    </row>
    <row r="170" spans="1:10" ht="12" customHeight="1">
      <c r="A170" s="14">
        <v>170</v>
      </c>
      <c r="C170" s="32" t="s">
        <v>156</v>
      </c>
      <c r="D170" s="36">
        <f t="shared" si="8"/>
        <v>5.161993339075815E-09</v>
      </c>
      <c r="E170" s="36">
        <f t="shared" si="7"/>
        <v>16.490023264561884</v>
      </c>
      <c r="F170" s="36">
        <f>COS((E134+E169)/180*PI())*D134*D169</f>
        <v>4.9496762945942E-09</v>
      </c>
      <c r="G170" s="36">
        <f>SIN((E134+E169)/180*PI())*D134*D169</f>
        <v>1.4652234680741736E-09</v>
      </c>
      <c r="H170" s="34" t="s">
        <v>164</v>
      </c>
      <c r="I170" s="17"/>
      <c r="J170" s="22"/>
    </row>
    <row r="171" spans="1:11" ht="12" customHeight="1">
      <c r="A171" s="14">
        <v>171</v>
      </c>
      <c r="C171" s="32" t="s">
        <v>117</v>
      </c>
      <c r="D171" s="75">
        <f t="shared" si="8"/>
        <v>2.3830934655841693E-09</v>
      </c>
      <c r="E171" s="75">
        <f>ATAN2(F171,G171)*180/PI()</f>
        <v>98.43994621808619</v>
      </c>
      <c r="F171" s="36">
        <f>COS((E170-E129)/180*PI())*D170/D129</f>
        <v>-3.4977307844708477E-10</v>
      </c>
      <c r="G171" s="36">
        <f>SIN((E170-E129)/180*PI())*D170/D129</f>
        <v>2.3572851459472645E-09</v>
      </c>
      <c r="H171" s="17">
        <f>SIGN(E171)</f>
        <v>1</v>
      </c>
      <c r="I171" s="17"/>
      <c r="J171" s="35"/>
      <c r="K171" s="34"/>
    </row>
    <row r="172" spans="1:11" ht="12" customHeight="1">
      <c r="A172" s="14">
        <v>172</v>
      </c>
      <c r="C172" s="32"/>
      <c r="D172" s="32"/>
      <c r="E172" s="32"/>
      <c r="F172" s="36"/>
      <c r="G172" s="36"/>
      <c r="H172" s="17"/>
      <c r="I172" s="17"/>
      <c r="J172" s="35"/>
      <c r="K172" s="34"/>
    </row>
    <row r="173" spans="1:11" ht="12" customHeight="1">
      <c r="A173" s="14">
        <v>173</v>
      </c>
      <c r="C173" s="32"/>
      <c r="D173" s="32"/>
      <c r="E173" s="32"/>
      <c r="F173" s="36"/>
      <c r="G173" s="36"/>
      <c r="H173" s="17"/>
      <c r="I173" s="17"/>
      <c r="J173" s="35"/>
      <c r="K173" s="34"/>
    </row>
    <row r="174" ht="12" customHeight="1">
      <c r="A174" s="14">
        <v>174</v>
      </c>
    </row>
    <row r="175" spans="1:11" ht="12" customHeight="1">
      <c r="A175" s="14">
        <v>175</v>
      </c>
      <c r="B175" s="238" t="s">
        <v>126</v>
      </c>
      <c r="C175" s="238"/>
      <c r="D175" s="239" t="s">
        <v>21</v>
      </c>
      <c r="E175" s="242" t="s">
        <v>45</v>
      </c>
      <c r="F175" s="240" t="s">
        <v>167</v>
      </c>
      <c r="G175" s="241"/>
      <c r="H175" s="54"/>
      <c r="I175" s="239" t="s">
        <v>161</v>
      </c>
      <c r="J175" s="239" t="s">
        <v>242</v>
      </c>
      <c r="K175" s="239" t="s">
        <v>243</v>
      </c>
    </row>
    <row r="176" spans="1:11" ht="12" customHeight="1">
      <c r="A176" s="14">
        <v>176</v>
      </c>
      <c r="C176" s="32" t="s">
        <v>90</v>
      </c>
      <c r="D176" s="22">
        <f>J176-K176</f>
        <v>-144.23000000000002</v>
      </c>
      <c r="E176" s="34" t="str">
        <f>IF(D176&gt;=0,"positiv","negativ")</f>
        <v>negativ</v>
      </c>
      <c r="F176" s="199" t="s">
        <v>71</v>
      </c>
      <c r="G176" s="108">
        <f>D176/D161</f>
        <v>-27698612946.17069</v>
      </c>
      <c r="H176" s="32" t="s">
        <v>18</v>
      </c>
      <c r="I176" s="21">
        <f>D4/(D4+E4+F4)</f>
        <v>0.3333333333333333</v>
      </c>
      <c r="J176" s="30">
        <f>G206</f>
        <v>-625.8899999999999</v>
      </c>
      <c r="K176" s="30">
        <f>I176*J179</f>
        <v>-481.65999999999985</v>
      </c>
    </row>
    <row r="177" spans="1:11" ht="12" customHeight="1">
      <c r="A177" s="14">
        <v>177</v>
      </c>
      <c r="C177" s="32" t="s">
        <v>91</v>
      </c>
      <c r="D177" s="22">
        <f>J177-K177</f>
        <v>24.339999999999975</v>
      </c>
      <c r="E177" s="34" t="str">
        <f>IF(D177&gt;=0,"positiv","negativ")</f>
        <v>positiv</v>
      </c>
      <c r="F177" s="67" t="s">
        <v>72</v>
      </c>
      <c r="G177" s="108">
        <f>D177/D166</f>
        <v>74048228556.21379</v>
      </c>
      <c r="H177" s="32" t="s">
        <v>19</v>
      </c>
      <c r="I177" s="21">
        <f>E4/(D4+E4+F4)</f>
        <v>0.3333333333333333</v>
      </c>
      <c r="J177" s="30">
        <f>G220</f>
        <v>-457.3199999999999</v>
      </c>
      <c r="K177" s="30">
        <f>I177*J179</f>
        <v>-481.65999999999985</v>
      </c>
    </row>
    <row r="178" spans="1:11" ht="12" customHeight="1">
      <c r="A178" s="14">
        <v>178</v>
      </c>
      <c r="C178" s="32" t="s">
        <v>92</v>
      </c>
      <c r="D178" s="22">
        <f>J178-K178</f>
        <v>119.88999999999999</v>
      </c>
      <c r="E178" s="34" t="str">
        <f>IF(D178&gt;=0,"positiv","negativ")</f>
        <v>positiv</v>
      </c>
      <c r="F178" s="67" t="s">
        <v>73</v>
      </c>
      <c r="G178" s="108">
        <f>D178/D171</f>
        <v>50308559748.66737</v>
      </c>
      <c r="H178" s="32" t="s">
        <v>20</v>
      </c>
      <c r="I178" s="21">
        <f>F4/(D4+E4+F4)</f>
        <v>0.3333333333333333</v>
      </c>
      <c r="J178" s="30">
        <f>G235</f>
        <v>-361.76999999999987</v>
      </c>
      <c r="K178" s="30">
        <f>I178*J179</f>
        <v>-481.65999999999985</v>
      </c>
    </row>
    <row r="179" spans="1:11" ht="12" customHeight="1">
      <c r="A179" s="14">
        <v>179</v>
      </c>
      <c r="F179" s="35"/>
      <c r="H179" s="17"/>
      <c r="I179" s="82" t="s">
        <v>278</v>
      </c>
      <c r="J179" s="71">
        <f>J176+J177+J178</f>
        <v>-1444.9799999999996</v>
      </c>
      <c r="K179" s="71">
        <f>K176+K177+K178</f>
        <v>-1444.9799999999996</v>
      </c>
    </row>
    <row r="180" ht="12" customHeight="1">
      <c r="A180" s="14">
        <v>180</v>
      </c>
    </row>
    <row r="181" spans="1:11" ht="12" customHeight="1">
      <c r="A181" s="14">
        <v>181</v>
      </c>
      <c r="B181" s="212" t="s">
        <v>149</v>
      </c>
      <c r="C181" s="212"/>
      <c r="D181" s="213" t="s">
        <v>187</v>
      </c>
      <c r="E181" s="213" t="s">
        <v>362</v>
      </c>
      <c r="F181" s="213" t="s">
        <v>1</v>
      </c>
      <c r="G181" s="213" t="s">
        <v>2</v>
      </c>
      <c r="H181" s="243" t="s">
        <v>265</v>
      </c>
      <c r="I181" s="213"/>
      <c r="J181" s="309" t="s">
        <v>388</v>
      </c>
      <c r="K181" s="244"/>
    </row>
    <row r="182" spans="1:11" ht="12" customHeight="1">
      <c r="A182" s="14">
        <v>182</v>
      </c>
      <c r="B182" s="34" t="s">
        <v>386</v>
      </c>
      <c r="C182" s="40" t="s">
        <v>309</v>
      </c>
      <c r="D182" s="46">
        <f aca="true" t="shared" si="9" ref="D182:D187">SQRT(F182^2+G182^2)</f>
        <v>11043.714600025074</v>
      </c>
      <c r="E182" s="46">
        <f aca="true" t="shared" si="10" ref="E182:E187">ATAN2(F182,G182)*180/PI()</f>
        <v>-3.4244395967926606</v>
      </c>
      <c r="F182" s="30">
        <f>F125-F183</f>
        <v>11023.995383802516</v>
      </c>
      <c r="G182" s="30">
        <f>(G125-G183)</f>
        <v>-659.6650246206699</v>
      </c>
      <c r="H182" s="62" t="s">
        <v>261</v>
      </c>
      <c r="I182" s="100" t="s">
        <v>266</v>
      </c>
      <c r="J182" s="62" t="s">
        <v>385</v>
      </c>
      <c r="K182" s="100" t="s">
        <v>266</v>
      </c>
    </row>
    <row r="183" spans="1:11" ht="12" customHeight="1">
      <c r="A183" s="14">
        <v>183</v>
      </c>
      <c r="B183" s="61">
        <f>D182*SQRT(3)</f>
        <v>19128.27479153363</v>
      </c>
      <c r="C183" s="40" t="s">
        <v>168</v>
      </c>
      <c r="D183" s="30">
        <f t="shared" si="9"/>
        <v>841.8416744304056</v>
      </c>
      <c r="E183" s="20">
        <f t="shared" si="10"/>
        <v>51.59114883607156</v>
      </c>
      <c r="F183" s="30">
        <f>TRUNC((COS((E206+E84)/180*PI())*D206*D84),2)</f>
        <v>523.01</v>
      </c>
      <c r="G183" s="30">
        <f>(SIN((E206+E84)/180*PI())*D206*D84)+0.0000000000001</f>
        <v>659.6650246206699</v>
      </c>
      <c r="H183" s="80">
        <f>TRUNC((D125-D182),1)</f>
        <v>503.2</v>
      </c>
      <c r="I183" s="107">
        <f>H183/D125*100</f>
        <v>4.357839831839521</v>
      </c>
      <c r="J183" s="63">
        <f>D182-D184</f>
        <v>-130.3569649331239</v>
      </c>
      <c r="K183" s="46">
        <f>J183/D188*100</f>
        <v>-1.1682394719891278</v>
      </c>
    </row>
    <row r="184" spans="1:11" ht="12" customHeight="1">
      <c r="A184" s="14">
        <v>184</v>
      </c>
      <c r="B184" s="88"/>
      <c r="C184" s="40" t="s">
        <v>310</v>
      </c>
      <c r="D184" s="85">
        <f t="shared" si="9"/>
        <v>11174.071564958198</v>
      </c>
      <c r="E184" s="85">
        <f t="shared" si="10"/>
        <v>-2.7540549082345214</v>
      </c>
      <c r="F184" s="71">
        <f>F126-F185</f>
        <v>11161.165383792517</v>
      </c>
      <c r="G184" s="71">
        <f>(G126-G185)</f>
        <v>-536.9009354051951</v>
      </c>
      <c r="H184" s="62" t="s">
        <v>275</v>
      </c>
      <c r="I184" s="100" t="s">
        <v>266</v>
      </c>
      <c r="J184" s="240" t="s">
        <v>387</v>
      </c>
      <c r="K184" s="50" t="s">
        <v>266</v>
      </c>
    </row>
    <row r="185" spans="1:11" ht="12" customHeight="1">
      <c r="A185" s="14">
        <v>185</v>
      </c>
      <c r="B185" s="61">
        <f>D184*SQRT(3)</f>
        <v>19354.059677918274</v>
      </c>
      <c r="C185" s="40" t="s">
        <v>169</v>
      </c>
      <c r="D185" s="30">
        <f t="shared" si="9"/>
        <v>661.1619469078461</v>
      </c>
      <c r="E185" s="20">
        <f t="shared" si="10"/>
        <v>54.297358125057706</v>
      </c>
      <c r="F185" s="30">
        <f>TRUNC((COS((E220+E96)/180*PI())*D220*D96),2)</f>
        <v>385.84</v>
      </c>
      <c r="G185" s="30">
        <f>(SIN((E220+E96)/180*PI())*D220*D96)+0.0000000000001</f>
        <v>536.9009354051951</v>
      </c>
      <c r="H185" s="80">
        <f>D126-D184</f>
        <v>372.933818834319</v>
      </c>
      <c r="I185" s="107">
        <f>H185/D126*100</f>
        <v>3.229701610408638</v>
      </c>
      <c r="J185" s="80">
        <f>D184-D186</f>
        <v>-83.37608778825597</v>
      </c>
      <c r="K185" s="107">
        <f>J185/D188*100</f>
        <v>-0.7472039320970799</v>
      </c>
    </row>
    <row r="186" spans="1:11" ht="12" customHeight="1">
      <c r="A186" s="14">
        <v>186</v>
      </c>
      <c r="B186" s="88"/>
      <c r="C186" s="40" t="s">
        <v>311</v>
      </c>
      <c r="D186" s="85">
        <f t="shared" si="9"/>
        <v>11257.447652746454</v>
      </c>
      <c r="E186" s="85">
        <f t="shared" si="10"/>
        <v>-2.2659132632323424</v>
      </c>
      <c r="F186" s="71">
        <f>F127-F187</f>
        <v>11248.645383792516</v>
      </c>
      <c r="G186" s="71">
        <f>G127-G187</f>
        <v>-445.0895235904226</v>
      </c>
      <c r="H186" s="62" t="s">
        <v>276</v>
      </c>
      <c r="I186" s="100" t="s">
        <v>266</v>
      </c>
      <c r="J186" s="62" t="s">
        <v>385</v>
      </c>
      <c r="K186" s="100" t="s">
        <v>266</v>
      </c>
    </row>
    <row r="187" spans="1:11" ht="12" customHeight="1">
      <c r="A187" s="14">
        <v>187</v>
      </c>
      <c r="B187" s="61">
        <f>D186*SQRT(3)</f>
        <v>19498.471298103857</v>
      </c>
      <c r="C187" s="40" t="s">
        <v>170</v>
      </c>
      <c r="D187" s="30">
        <f t="shared" si="9"/>
        <v>535.8389437227845</v>
      </c>
      <c r="E187" s="20">
        <f t="shared" si="10"/>
        <v>56.16458828614469</v>
      </c>
      <c r="F187" s="30">
        <f>TRUNC((COS((E235+E108)/180*PI())*D235*D108),2)</f>
        <v>298.36</v>
      </c>
      <c r="G187" s="30">
        <f>(SIN((E235+E108)/180*PI())*D235*D108)+0.0000000000001</f>
        <v>445.0895235904226</v>
      </c>
      <c r="H187" s="63">
        <f>D127-D186</f>
        <v>289.55773104606305</v>
      </c>
      <c r="I187" s="106">
        <f>H187/D127*100</f>
        <v>2.507643509480726</v>
      </c>
      <c r="J187" s="63">
        <f>D186-D182</f>
        <v>213.73305272137986</v>
      </c>
      <c r="K187" s="46">
        <f>J187/D188*100</f>
        <v>1.9154434040862078</v>
      </c>
    </row>
    <row r="188" spans="1:4" ht="12" customHeight="1">
      <c r="A188" s="14">
        <v>188</v>
      </c>
      <c r="C188" s="32" t="s">
        <v>232</v>
      </c>
      <c r="D188" s="308">
        <f>(D182+D184+D186)/3</f>
        <v>11158.411272576574</v>
      </c>
    </row>
    <row r="189" spans="1:11" ht="12" customHeight="1">
      <c r="A189" s="14">
        <v>189</v>
      </c>
      <c r="B189" s="212" t="s">
        <v>345</v>
      </c>
      <c r="C189" s="212"/>
      <c r="D189" s="213"/>
      <c r="E189" s="213"/>
      <c r="F189" s="213"/>
      <c r="G189" s="213"/>
      <c r="H189" s="213"/>
      <c r="I189" s="213"/>
      <c r="J189" s="214"/>
      <c r="K189" s="213"/>
    </row>
    <row r="190" spans="1:11" ht="12" customHeight="1">
      <c r="A190" s="14">
        <v>190</v>
      </c>
      <c r="D190" s="22" t="s">
        <v>187</v>
      </c>
      <c r="E190" s="17" t="s">
        <v>362</v>
      </c>
      <c r="F190" s="25" t="s">
        <v>215</v>
      </c>
      <c r="G190" s="25" t="s">
        <v>216</v>
      </c>
      <c r="H190" s="34"/>
      <c r="I190" s="25"/>
      <c r="J190" s="35"/>
      <c r="K190" s="32"/>
    </row>
    <row r="191" spans="1:11" ht="12" customHeight="1">
      <c r="A191" s="14">
        <v>191</v>
      </c>
      <c r="C191" s="35" t="s">
        <v>181</v>
      </c>
      <c r="D191" s="77">
        <f>SQRT(F191^2+G191^2)</f>
        <v>10786.97434747112</v>
      </c>
      <c r="E191" s="10">
        <f>ATAN2(F191,G191)*180/PI()</f>
        <v>-4.487276325249816</v>
      </c>
      <c r="F191" s="30">
        <f>COS((E145+E12)/180*PI())*D145*D12</f>
        <v>10753.909386272991</v>
      </c>
      <c r="G191" s="30">
        <f>SIN((E12+E145)/180*PI())*D12*D145</f>
        <v>-843.9481529274424</v>
      </c>
      <c r="H191" s="47"/>
      <c r="I191" s="17"/>
      <c r="J191" s="32"/>
      <c r="K191" s="36"/>
    </row>
    <row r="192" spans="1:11" ht="12" customHeight="1">
      <c r="A192" s="14">
        <v>192</v>
      </c>
      <c r="C192" s="48" t="s">
        <v>279</v>
      </c>
      <c r="D192" s="77">
        <f>D195*SQRT(3)</f>
        <v>18683.587629762114</v>
      </c>
      <c r="E192" s="10">
        <f>E195+30</f>
        <v>25.512723674750205</v>
      </c>
      <c r="F192" s="60"/>
      <c r="G192" s="17"/>
      <c r="J192" s="33"/>
      <c r="K192" s="38"/>
    </row>
    <row r="193" spans="1:11" ht="12" customHeight="1">
      <c r="A193" s="14">
        <v>193</v>
      </c>
      <c r="C193" s="32" t="s">
        <v>165</v>
      </c>
      <c r="D193" s="71">
        <f>SQRT(F193^2+G193^2)</f>
        <v>25011.845208018163</v>
      </c>
      <c r="E193" s="64">
        <f>ATAN2(F193,G193)*180/PI()</f>
        <v>-81.94992295352505</v>
      </c>
      <c r="F193" s="76">
        <f>(F131+F133+F135)</f>
        <v>3502.6225666470573</v>
      </c>
      <c r="G193" s="76">
        <f>(G131+G133+G135)</f>
        <v>-24765.379784398137</v>
      </c>
      <c r="H193" s="17"/>
      <c r="I193" s="17"/>
      <c r="J193" s="25"/>
      <c r="K193" s="30"/>
    </row>
    <row r="194" spans="1:11" ht="12" customHeight="1">
      <c r="A194" s="14">
        <v>194</v>
      </c>
      <c r="C194" s="32" t="s">
        <v>171</v>
      </c>
      <c r="D194" s="30">
        <f>SQRT(F194^2+G194^2)</f>
        <v>23365.55008629431</v>
      </c>
      <c r="E194" s="20">
        <f>ATAN2(F194,G194)*180/PI()</f>
        <v>-86.4371992787741</v>
      </c>
      <c r="F194" s="61">
        <f>F193-F145</f>
        <v>1451.994574626137</v>
      </c>
      <c r="G194" s="61">
        <f>G193-G145</f>
        <v>-23320.39113287735</v>
      </c>
      <c r="H194" s="17"/>
      <c r="I194" s="17"/>
      <c r="J194" s="25"/>
      <c r="K194" s="30"/>
    </row>
    <row r="195" spans="1:11" ht="12" customHeight="1">
      <c r="A195" s="14">
        <v>195</v>
      </c>
      <c r="C195" s="32" t="s">
        <v>182</v>
      </c>
      <c r="D195" s="30">
        <f>SQRT(F195^2+G195^2)</f>
        <v>10786.97434747112</v>
      </c>
      <c r="E195" s="20">
        <f>ATAN2(F195,G195)*180/PI()</f>
        <v>-4.487276325249796</v>
      </c>
      <c r="F195" s="30">
        <f>COS((E194-E129)/180*PI())*(D194)/D129</f>
        <v>10753.909386272991</v>
      </c>
      <c r="G195" s="30">
        <f>SIN((E194-E129)/180*PI())*D194/D129</f>
        <v>-843.9481529274384</v>
      </c>
      <c r="H195" s="47"/>
      <c r="I195" s="17"/>
      <c r="J195" s="25"/>
      <c r="K195" s="30"/>
    </row>
    <row r="196" spans="1:11" ht="12" customHeight="1">
      <c r="A196" s="14">
        <v>196</v>
      </c>
      <c r="C196" s="35" t="s">
        <v>183</v>
      </c>
      <c r="D196" s="77">
        <f>SQRT(F196^2+G196^2)</f>
        <v>10786.97434747112</v>
      </c>
      <c r="E196" s="10">
        <f>ATAN2(F196,G196)*180/PI()</f>
        <v>-4.487276325249816</v>
      </c>
      <c r="F196" s="30">
        <f>COS((E145+E12)/180*PI())*D145*D12</f>
        <v>10753.909386272991</v>
      </c>
      <c r="G196" s="30">
        <f>SIN((E145+E12)/180*PI())*D145*D12</f>
        <v>-843.9481529274424</v>
      </c>
      <c r="I196" s="17"/>
      <c r="J196" s="25"/>
      <c r="K196" s="30"/>
    </row>
    <row r="197" spans="1:11" ht="12" customHeight="1">
      <c r="A197" s="14">
        <v>197</v>
      </c>
      <c r="B197" s="32"/>
      <c r="C197" s="32"/>
      <c r="D197" s="30"/>
      <c r="E197" s="30"/>
      <c r="F197" s="30"/>
      <c r="G197" s="30"/>
      <c r="H197" s="47"/>
      <c r="I197" s="17"/>
      <c r="J197" s="25"/>
      <c r="K197" s="30"/>
    </row>
    <row r="198" spans="1:11" ht="12" customHeight="1">
      <c r="A198" s="14">
        <v>198</v>
      </c>
      <c r="B198" s="212" t="s">
        <v>358</v>
      </c>
      <c r="C198" s="212"/>
      <c r="D198" s="213"/>
      <c r="E198" s="213"/>
      <c r="F198" s="213"/>
      <c r="G198" s="213"/>
      <c r="H198" s="213"/>
      <c r="I198" s="213"/>
      <c r="J198" s="214"/>
      <c r="K198" s="213"/>
    </row>
    <row r="199" spans="1:11" ht="12" customHeight="1">
      <c r="A199" s="14">
        <v>199</v>
      </c>
      <c r="B199" s="47" t="s">
        <v>124</v>
      </c>
      <c r="C199" s="48"/>
      <c r="D199" s="22" t="s">
        <v>187</v>
      </c>
      <c r="E199" s="17" t="s">
        <v>362</v>
      </c>
      <c r="F199" s="25" t="s">
        <v>215</v>
      </c>
      <c r="G199" s="25" t="s">
        <v>216</v>
      </c>
      <c r="H199" s="59" t="s">
        <v>247</v>
      </c>
      <c r="I199" s="22" t="s">
        <v>248</v>
      </c>
      <c r="J199" s="25" t="s">
        <v>215</v>
      </c>
      <c r="K199" s="25" t="s">
        <v>216</v>
      </c>
    </row>
    <row r="200" spans="1:11" ht="12" customHeight="1">
      <c r="A200" s="14">
        <v>200</v>
      </c>
      <c r="C200" s="40" t="s">
        <v>172</v>
      </c>
      <c r="D200" s="20">
        <f>SQRT(F200^2+G200^2)</f>
        <v>326.8480380849793</v>
      </c>
      <c r="E200" s="20">
        <f>ATAN2(F200,G200)*180/PI()</f>
        <v>34.302677260714134</v>
      </c>
      <c r="F200" s="30">
        <f>TRUNC((COS((E206+E89)/180*PI())*D206*D89),1)+0.0000000000001</f>
        <v>270.0000000000001</v>
      </c>
      <c r="G200" s="30">
        <f>TRUNC((SIN((E206+E89)/180*PI())*D206*D89),1)</f>
        <v>184.2</v>
      </c>
      <c r="H200" s="114">
        <f>D89</f>
        <v>0.31622776601683794</v>
      </c>
      <c r="I200" s="30">
        <f>SQRT(K200^2+J200^2)</f>
        <v>11043.633721834898</v>
      </c>
      <c r="J200" s="30">
        <f>F191+F200</f>
        <v>11023.909386272991</v>
      </c>
      <c r="K200" s="30">
        <f>G191+G200</f>
        <v>-659.7481529274423</v>
      </c>
    </row>
    <row r="201" spans="1:11" ht="12" customHeight="1">
      <c r="A201" s="14">
        <v>201</v>
      </c>
      <c r="C201" s="40" t="s">
        <v>173</v>
      </c>
      <c r="D201" s="20">
        <f>SQRT(F201^2+G201^2)</f>
        <v>509.82155701774724</v>
      </c>
      <c r="E201" s="20">
        <f>ATAN2(F201,G201)*180/PI()</f>
        <v>37.011501614303285</v>
      </c>
      <c r="F201" s="30">
        <f>TRUNC((COS((E220+E101)/180*PI())*D220*D101),1)+0.0000000000001</f>
        <v>407.10000000000014</v>
      </c>
      <c r="G201" s="30">
        <f>TRUNC((SIN((E220+E101)/180*PI())*D220*D101),1)</f>
        <v>306.9</v>
      </c>
      <c r="H201" s="114">
        <f>D101</f>
        <v>0.6324555320336759</v>
      </c>
      <c r="I201" s="30">
        <f>SQRT(K201^2+J201^2)</f>
        <v>11173.92282231431</v>
      </c>
      <c r="J201" s="30">
        <f>F191+F201</f>
        <v>11161.009386272992</v>
      </c>
      <c r="K201" s="30">
        <f>G191+G201</f>
        <v>-537.0481529274424</v>
      </c>
    </row>
    <row r="202" spans="1:11" ht="12" customHeight="1">
      <c r="A202" s="14">
        <v>202</v>
      </c>
      <c r="C202" s="40" t="s">
        <v>174</v>
      </c>
      <c r="D202" s="20">
        <f>SQRT(F202^2+G202^2)</f>
        <v>635.3507692605716</v>
      </c>
      <c r="E202" s="20">
        <f>ATAN2(F202,G202)*180/PI()</f>
        <v>38.879514703986764</v>
      </c>
      <c r="F202" s="30">
        <f>TRUNC((COS((E235+E113)/180*PI())*D235*D113),1)+0.0000000000001</f>
        <v>494.60000000000014</v>
      </c>
      <c r="G202" s="30">
        <f>TRUNC((SIN((E235+E113)/180*PI())*D235*D113),1)</f>
        <v>398.8</v>
      </c>
      <c r="H202" s="114">
        <f>D113</f>
        <v>0.9486832980505138</v>
      </c>
      <c r="I202" s="30">
        <f>SQRT(K202^2+J202^2)</f>
        <v>11257.314079793914</v>
      </c>
      <c r="J202" s="30">
        <f>F191+F202</f>
        <v>11248.509386272992</v>
      </c>
      <c r="K202" s="30">
        <f>G191+G202</f>
        <v>-445.14815292744237</v>
      </c>
    </row>
    <row r="203" spans="1:11" ht="12" customHeight="1">
      <c r="A203" s="14">
        <v>203</v>
      </c>
      <c r="B203" s="40"/>
      <c r="C203" s="40"/>
      <c r="D203" s="30"/>
      <c r="E203" s="20"/>
      <c r="F203" s="30"/>
      <c r="G203" s="30"/>
      <c r="H203" s="21"/>
      <c r="I203" s="30"/>
      <c r="J203" s="30"/>
      <c r="K203" s="30"/>
    </row>
    <row r="204" spans="1:11" ht="12" customHeight="1">
      <c r="A204" s="14">
        <v>204</v>
      </c>
      <c r="B204" s="212" t="s">
        <v>269</v>
      </c>
      <c r="C204" s="212"/>
      <c r="D204" s="213"/>
      <c r="E204" s="213"/>
      <c r="F204" s="213"/>
      <c r="G204" s="213"/>
      <c r="H204" s="213"/>
      <c r="I204" s="213"/>
      <c r="J204" s="214"/>
      <c r="K204" s="213"/>
    </row>
    <row r="205" spans="1:11" ht="12" customHeight="1">
      <c r="A205" s="14">
        <v>205</v>
      </c>
      <c r="C205" s="16" t="s">
        <v>97</v>
      </c>
      <c r="D205" s="17" t="s">
        <v>21</v>
      </c>
      <c r="E205" s="17" t="s">
        <v>363</v>
      </c>
      <c r="F205" s="25" t="s">
        <v>62</v>
      </c>
      <c r="G205" s="25" t="s">
        <v>63</v>
      </c>
      <c r="H205" s="17" t="s">
        <v>280</v>
      </c>
      <c r="I205" s="18" t="s">
        <v>282</v>
      </c>
      <c r="J205" s="86" t="s">
        <v>277</v>
      </c>
      <c r="K205" s="87">
        <f>I2</f>
        <v>0</v>
      </c>
    </row>
    <row r="206" spans="1:11" ht="12" customHeight="1">
      <c r="A206" s="14">
        <v>206</v>
      </c>
      <c r="C206" s="40" t="s">
        <v>150</v>
      </c>
      <c r="D206" s="58">
        <f>TRUNC((SQRT(G206^2+F206^2)),1)</f>
        <v>1033.7</v>
      </c>
      <c r="E206" s="58">
        <f>ATAN2(F206,G206)*180/PI()</f>
        <v>-37.26097466696246</v>
      </c>
      <c r="F206" s="58">
        <f>TRUNC((F208+F207),2)</f>
        <v>822.76</v>
      </c>
      <c r="G206" s="58">
        <f>TRUNC((G208+G207),2)+0.0000000000001</f>
        <v>-625.8899999999999</v>
      </c>
      <c r="H206" s="22">
        <f>G206/F206*-1</f>
        <v>0.760720015557392</v>
      </c>
      <c r="I206" s="20">
        <f>(H206-H208)/TRUNC((H208*100),2)</f>
        <v>-1.114148440041971E-08</v>
      </c>
      <c r="J206" s="43" t="s">
        <v>281</v>
      </c>
      <c r="K206" s="22">
        <f>K137</f>
        <v>0</v>
      </c>
    </row>
    <row r="207" spans="1:11" ht="12" customHeight="1">
      <c r="A207" s="14">
        <v>207</v>
      </c>
      <c r="C207" s="32" t="s">
        <v>67</v>
      </c>
      <c r="D207" s="20">
        <f>D161</f>
        <v>5.2071199478578835E-09</v>
      </c>
      <c r="E207" s="20">
        <f>E161</f>
        <v>-90</v>
      </c>
      <c r="F207" s="20">
        <f>TRUNC((F161),2)</f>
        <v>0</v>
      </c>
      <c r="G207" s="20">
        <f>TRUNC((G161),2)</f>
        <v>0</v>
      </c>
      <c r="H207" s="34"/>
      <c r="I207" s="17"/>
      <c r="J207" s="25" t="s">
        <v>49</v>
      </c>
      <c r="K207" s="11">
        <f>D182/1000</f>
        <v>11.043714600025075</v>
      </c>
    </row>
    <row r="208" spans="1:11" ht="12" customHeight="1">
      <c r="A208" s="14">
        <v>208</v>
      </c>
      <c r="C208" s="32" t="s">
        <v>151</v>
      </c>
      <c r="D208" s="20">
        <f>D148</f>
        <v>1033.769001024933</v>
      </c>
      <c r="E208" s="20">
        <f>E148</f>
        <v>-37.26100542656436</v>
      </c>
      <c r="F208" s="20">
        <f>F148</f>
        <v>822.7619881955455</v>
      </c>
      <c r="G208" s="20">
        <f>G148</f>
        <v>-625.8922097778506</v>
      </c>
      <c r="H208" s="22">
        <f>G208/F208*-1</f>
        <v>0.7607208630901103</v>
      </c>
      <c r="I208" s="54"/>
      <c r="J208" s="83" t="s">
        <v>305</v>
      </c>
      <c r="K208" s="84">
        <f>D213/D61</f>
        <v>0.7161683679141997</v>
      </c>
    </row>
    <row r="209" spans="1:11" ht="12" customHeight="1">
      <c r="A209" s="14">
        <v>209</v>
      </c>
      <c r="C209" s="33" t="s">
        <v>207</v>
      </c>
      <c r="D209" s="25">
        <f>SQRT(F209^2+G209^2)</f>
        <v>1.195637802002209E-12</v>
      </c>
      <c r="E209" s="20">
        <f>ATAN2(F209,G209)*180/PI()</f>
        <v>0</v>
      </c>
      <c r="F209" s="22">
        <f>(COS((E207-E145)/180*PI())*D207/D145)</f>
        <v>1.195637802002209E-12</v>
      </c>
      <c r="G209" s="22">
        <f>ROUND((SIN((E207-E145)/180*PI())*D207/D145),5)</f>
        <v>0</v>
      </c>
      <c r="H209" s="17"/>
      <c r="I209" s="32"/>
      <c r="J209" s="33" t="s">
        <v>298</v>
      </c>
      <c r="K209" s="20">
        <f>((K207/TRUNC((D121),2)-1)*100)</f>
        <v>-4.300566724219445</v>
      </c>
    </row>
    <row r="210" spans="1:11" ht="12" customHeight="1">
      <c r="A210" s="14">
        <v>210</v>
      </c>
      <c r="C210" s="29" t="s">
        <v>208</v>
      </c>
      <c r="D210" s="53">
        <f>SQRT(F210^2+G210^2)</f>
        <v>1158.1233725805757</v>
      </c>
      <c r="E210" s="45">
        <f>ATAN2(F210,G210)*180/PI()</f>
        <v>46.77922951929867</v>
      </c>
      <c r="F210" s="53">
        <f>COS((E90+E208)/180*PI())*D90*D208</f>
        <v>793.0959975236425</v>
      </c>
      <c r="G210" s="53">
        <f>SIN((E90+E208)/180*PI())*D90*D208</f>
        <v>843.9481529272906</v>
      </c>
      <c r="H210" s="17"/>
      <c r="I210" s="32"/>
      <c r="J210" s="33"/>
      <c r="K210" s="65"/>
    </row>
    <row r="211" spans="1:11" ht="12" customHeight="1">
      <c r="A211" s="14">
        <v>211</v>
      </c>
      <c r="C211" s="29"/>
      <c r="D211" s="53"/>
      <c r="E211" s="45"/>
      <c r="F211" s="53"/>
      <c r="G211" s="53"/>
      <c r="H211" s="17"/>
      <c r="I211" s="32"/>
      <c r="J211" s="33"/>
      <c r="K211" s="65"/>
    </row>
    <row r="212" spans="1:11" ht="12" customHeight="1">
      <c r="A212" s="14">
        <v>212</v>
      </c>
      <c r="C212" s="16" t="s">
        <v>98</v>
      </c>
      <c r="D212" s="17" t="s">
        <v>44</v>
      </c>
      <c r="E212" s="17" t="s">
        <v>48</v>
      </c>
      <c r="F212" s="17" t="s">
        <v>284</v>
      </c>
      <c r="I212" s="18" t="s">
        <v>74</v>
      </c>
      <c r="J212" s="17" t="s">
        <v>77</v>
      </c>
      <c r="K212" s="17" t="s">
        <v>66</v>
      </c>
    </row>
    <row r="213" spans="1:11" ht="12" customHeight="1">
      <c r="A213" s="14">
        <v>213</v>
      </c>
      <c r="C213" s="32" t="s">
        <v>75</v>
      </c>
      <c r="D213" s="33">
        <f>D125*D206*3/1000000</f>
        <v>35.808418395709985</v>
      </c>
      <c r="E213" s="33">
        <f>D213*K213</f>
        <v>28.499420582659102</v>
      </c>
      <c r="F213" s="33">
        <f>D213*J213</f>
        <v>-21.680079669017086</v>
      </c>
      <c r="I213" s="20">
        <f>E206-E125</f>
        <v>-37.26097466696246</v>
      </c>
      <c r="J213" s="22">
        <f>SIN((I213)/180*PI())</f>
        <v>-0.6054464464036329</v>
      </c>
      <c r="K213" s="22">
        <f>COS((I213)/180*PI())</f>
        <v>0.7958860474573058</v>
      </c>
    </row>
    <row r="214" spans="1:11" ht="12" customHeight="1">
      <c r="A214" s="14">
        <v>214</v>
      </c>
      <c r="C214" s="32" t="s">
        <v>76</v>
      </c>
      <c r="D214" s="7">
        <f>3*D182*D206/1000000</f>
        <v>34.24766334613776</v>
      </c>
      <c r="E214" s="7">
        <f>D214*K214</f>
        <v>28.44712202989811</v>
      </c>
      <c r="F214" s="7">
        <f>D214*J214</f>
        <v>-19.069968350431882</v>
      </c>
      <c r="G214" s="9" t="str">
        <f>IF(I214&gt;=0,"kapazitiv","induktiv")</f>
        <v>induktiv</v>
      </c>
      <c r="H214" s="8"/>
      <c r="I214" s="13">
        <f>E206-E182</f>
        <v>-33.8365350701698</v>
      </c>
      <c r="J214" s="12">
        <f>SIN((I214)/180*PI())</f>
        <v>-0.5568253856531346</v>
      </c>
      <c r="K214" s="12">
        <f>COS((I214)/180*PI())</f>
        <v>0.8306295744146351</v>
      </c>
    </row>
    <row r="215" spans="1:11" ht="12" customHeight="1">
      <c r="A215" s="14">
        <v>215</v>
      </c>
      <c r="C215" s="32" t="s">
        <v>106</v>
      </c>
      <c r="D215" s="33">
        <f>3*D191*D208/1000000</f>
        <v>33.453719085800394</v>
      </c>
      <c r="E215" s="33">
        <f>D215*K215</f>
        <v>28.128385325695195</v>
      </c>
      <c r="F215" s="33">
        <f>D215*J215</f>
        <v>-18.109258947865893</v>
      </c>
      <c r="I215" s="20">
        <f>E208-E191</f>
        <v>-32.773729101314544</v>
      </c>
      <c r="J215" s="22">
        <f>SIN((I215)/180*PI())</f>
        <v>-0.5413227420670386</v>
      </c>
      <c r="K215" s="22">
        <f>COS((I215)/180*PI())</f>
        <v>0.8408148957535317</v>
      </c>
    </row>
    <row r="216" spans="1:11" ht="12" customHeight="1">
      <c r="A216" s="14">
        <v>216</v>
      </c>
      <c r="C216" s="32" t="s">
        <v>251</v>
      </c>
      <c r="D216" s="33">
        <f>(3*D200*D206)/1000000</f>
        <v>1.0135884509053292</v>
      </c>
      <c r="E216" s="33">
        <f>D216*K216</f>
        <v>0.32060958233046283</v>
      </c>
      <c r="F216" s="33">
        <f>D216*J216</f>
        <v>-0.9615461733721117</v>
      </c>
      <c r="I216" s="20">
        <f>TRUNC((E206-E200),2)</f>
        <v>-71.56</v>
      </c>
      <c r="J216" s="22">
        <f>SIN((I216)/180*PI())</f>
        <v>-0.9486554158280575</v>
      </c>
      <c r="K216" s="22">
        <f>COS((I216)/180*PI())</f>
        <v>0.31631140039539407</v>
      </c>
    </row>
    <row r="217" spans="1:9" ht="12" customHeight="1">
      <c r="A217" s="14">
        <v>217</v>
      </c>
      <c r="B217" s="32"/>
      <c r="C217" s="32"/>
      <c r="D217" s="35"/>
      <c r="E217" s="35"/>
      <c r="F217" s="35"/>
      <c r="I217" s="95"/>
    </row>
    <row r="218" spans="1:11" ht="12" customHeight="1">
      <c r="A218" s="14">
        <v>218</v>
      </c>
      <c r="B218" s="212" t="s">
        <v>271</v>
      </c>
      <c r="C218" s="212"/>
      <c r="D218" s="213"/>
      <c r="E218" s="213"/>
      <c r="F218" s="213"/>
      <c r="G218" s="213"/>
      <c r="H218" s="213"/>
      <c r="I218" s="213"/>
      <c r="J218" s="214"/>
      <c r="K218" s="213"/>
    </row>
    <row r="219" spans="1:11" ht="12" customHeight="1">
      <c r="A219" s="14">
        <v>219</v>
      </c>
      <c r="C219" s="16" t="s">
        <v>110</v>
      </c>
      <c r="D219" s="17" t="s">
        <v>21</v>
      </c>
      <c r="E219" s="17" t="s">
        <v>362</v>
      </c>
      <c r="F219" s="25" t="s">
        <v>62</v>
      </c>
      <c r="G219" s="25" t="s">
        <v>63</v>
      </c>
      <c r="H219" s="17" t="s">
        <v>280</v>
      </c>
      <c r="I219" s="18" t="s">
        <v>282</v>
      </c>
      <c r="J219" s="86" t="s">
        <v>277</v>
      </c>
      <c r="K219" s="87">
        <f>J2</f>
        <v>0</v>
      </c>
    </row>
    <row r="220" spans="1:11" ht="12" customHeight="1">
      <c r="A220" s="14">
        <v>220</v>
      </c>
      <c r="C220" s="40" t="s">
        <v>152</v>
      </c>
      <c r="D220" s="58">
        <f>TRUNC((SQRT(G220^2+F220^2)),1)</f>
        <v>806.3</v>
      </c>
      <c r="E220" s="58">
        <f>ATAN2(F220,G220)*180/PI()</f>
        <v>-34.551705861312676</v>
      </c>
      <c r="F220" s="58">
        <f>TRUNC((F222+F221),2)</f>
        <v>664.12</v>
      </c>
      <c r="G220" s="58">
        <f>TRUNC((G222+G221),2)+0.0000000000001</f>
        <v>-457.3199999999999</v>
      </c>
      <c r="H220" s="22">
        <f>G220/F220*-1</f>
        <v>0.6886104920797445</v>
      </c>
      <c r="I220" s="20">
        <f>(H220-H222)/H222*100</f>
        <v>-0.0001394823899797863</v>
      </c>
      <c r="J220" s="43" t="s">
        <v>281</v>
      </c>
      <c r="K220" s="22">
        <f>K137</f>
        <v>0</v>
      </c>
    </row>
    <row r="221" spans="1:12" ht="12" customHeight="1">
      <c r="A221" s="14">
        <v>221</v>
      </c>
      <c r="C221" s="32" t="s">
        <v>69</v>
      </c>
      <c r="D221" s="20">
        <f>D166</f>
        <v>3.2870468982957827E-10</v>
      </c>
      <c r="E221" s="20">
        <f>E166</f>
        <v>180</v>
      </c>
      <c r="F221" s="20">
        <f>TRUNC((F166),2)</f>
        <v>0</v>
      </c>
      <c r="G221" s="20">
        <f>TRUNC((G166),2)</f>
        <v>0</v>
      </c>
      <c r="H221" s="34"/>
      <c r="J221" s="25" t="s">
        <v>50</v>
      </c>
      <c r="K221" s="11">
        <f>D184/1000</f>
        <v>11.174071564958197</v>
      </c>
      <c r="L221" s="17"/>
    </row>
    <row r="222" spans="1:12" ht="12" customHeight="1">
      <c r="A222" s="14">
        <v>222</v>
      </c>
      <c r="C222" s="32" t="s">
        <v>154</v>
      </c>
      <c r="D222" s="20">
        <f>D150</f>
        <v>806.3553940594576</v>
      </c>
      <c r="E222" s="20">
        <f>E150</f>
        <v>-34.55174319185035</v>
      </c>
      <c r="F222" s="20">
        <f>F150</f>
        <v>664.125863544773</v>
      </c>
      <c r="G222" s="20">
        <f>G150</f>
        <v>-457.3246755858388</v>
      </c>
      <c r="H222" s="22">
        <f>G222/F222*-1</f>
        <v>0.6886114525714562</v>
      </c>
      <c r="I222" s="50"/>
      <c r="J222" s="83" t="s">
        <v>306</v>
      </c>
      <c r="K222" s="84">
        <f>D227/D65</f>
        <v>0.5586210264571144</v>
      </c>
      <c r="L222" s="25"/>
    </row>
    <row r="223" spans="1:11" ht="12" customHeight="1">
      <c r="A223" s="14">
        <v>223</v>
      </c>
      <c r="C223" s="33" t="s">
        <v>88</v>
      </c>
      <c r="D223" s="25">
        <f>SQRT(F223^2+G223^2)</f>
        <v>1.0711009417376165E-13</v>
      </c>
      <c r="E223" s="20">
        <f>ATAN2(F223,G223)*180/PI()</f>
        <v>180</v>
      </c>
      <c r="F223" s="22">
        <f>(COS((E221-E145)/180*PI())*D221/D145)</f>
        <v>-1.0711009417376165E-13</v>
      </c>
      <c r="G223" s="22">
        <f>ROUND((SIN((E221-E145)/180*PI())*D221/D145),5)</f>
        <v>0</v>
      </c>
      <c r="H223" s="17"/>
      <c r="I223" s="32"/>
      <c r="J223" s="33" t="s">
        <v>300</v>
      </c>
      <c r="K223" s="20">
        <f>((K221/E121)-1)*100</f>
        <v>-3.229701610408642</v>
      </c>
    </row>
    <row r="224" spans="1:11" ht="12" customHeight="1">
      <c r="A224" s="14">
        <v>224</v>
      </c>
      <c r="C224" s="29" t="s">
        <v>189</v>
      </c>
      <c r="D224" s="53">
        <f>SQRT(F224^2+G224^2)</f>
        <v>1158.123372580576</v>
      </c>
      <c r="E224" s="45">
        <f>ATAN2(F224,G224)*180/PI()</f>
        <v>46.779229519298674</v>
      </c>
      <c r="F224" s="53">
        <f>COS((E102+E222)/180*PI())*D102*D222</f>
        <v>793.0959975236425</v>
      </c>
      <c r="G224" s="53">
        <f>SIN((E102+E222)/180*PI())*D102*D222</f>
        <v>843.948152927291</v>
      </c>
      <c r="H224" s="17"/>
      <c r="I224" s="32"/>
      <c r="J224" s="33"/>
      <c r="K224" s="65"/>
    </row>
    <row r="225" spans="1:11" ht="12" customHeight="1">
      <c r="A225" s="14">
        <v>225</v>
      </c>
      <c r="C225" s="29"/>
      <c r="D225" s="53"/>
      <c r="E225" s="45"/>
      <c r="F225" s="53"/>
      <c r="G225" s="53"/>
      <c r="H225" s="17"/>
      <c r="I225" s="32"/>
      <c r="J225" s="33"/>
      <c r="K225" s="65"/>
    </row>
    <row r="226" spans="1:11" ht="12" customHeight="1">
      <c r="A226" s="14">
        <v>226</v>
      </c>
      <c r="C226" s="16" t="s">
        <v>99</v>
      </c>
      <c r="D226" s="17" t="s">
        <v>44</v>
      </c>
      <c r="E226" s="17" t="s">
        <v>48</v>
      </c>
      <c r="F226" s="17" t="s">
        <v>284</v>
      </c>
      <c r="I226" s="18" t="s">
        <v>74</v>
      </c>
      <c r="J226" s="17" t="s">
        <v>77</v>
      </c>
      <c r="K226" s="17" t="s">
        <v>66</v>
      </c>
    </row>
    <row r="227" spans="1:11" ht="12" customHeight="1">
      <c r="A227" s="14">
        <v>227</v>
      </c>
      <c r="C227" s="32" t="s">
        <v>78</v>
      </c>
      <c r="D227" s="33">
        <f>D126*D220*3/1000000</f>
        <v>27.93105132285572</v>
      </c>
      <c r="E227" s="33">
        <f>D227*K227</f>
        <v>23.00442464780978</v>
      </c>
      <c r="F227" s="33">
        <f>D227*J227</f>
        <v>-15.841088176739692</v>
      </c>
      <c r="I227" s="20">
        <f>E220-E126</f>
        <v>-34.551705861312676</v>
      </c>
      <c r="J227" s="22">
        <f>SIN((I227)/180*PI())</f>
        <v>-0.5671497285810032</v>
      </c>
      <c r="K227" s="22">
        <f>COS((I227)/180*PI())</f>
        <v>0.8236147068687484</v>
      </c>
    </row>
    <row r="228" spans="1:11" ht="12" customHeight="1">
      <c r="A228" s="14">
        <v>228</v>
      </c>
      <c r="C228" s="32" t="s">
        <v>79</v>
      </c>
      <c r="D228" s="7">
        <f>3*D184*D220/1000000</f>
        <v>27.028961708477386</v>
      </c>
      <c r="E228" s="7">
        <f>D228*K228</f>
        <v>22.972300981642288</v>
      </c>
      <c r="F228" s="7">
        <f>D228*J228</f>
        <v>-14.242126198260342</v>
      </c>
      <c r="G228" s="9" t="str">
        <f>IF(I228&gt;=0,"kapazitiv","induktiv")</f>
        <v>induktiv</v>
      </c>
      <c r="H228" s="8"/>
      <c r="I228" s="13">
        <f>E220-(E184)</f>
        <v>-31.797650953078154</v>
      </c>
      <c r="J228" s="12">
        <f>SIN((I228)/180*PI())</f>
        <v>-0.5269209506406393</v>
      </c>
      <c r="K228" s="12">
        <f>COS((I228)/180*PI())</f>
        <v>0.8499142967240668</v>
      </c>
    </row>
    <row r="229" spans="1:12" ht="12" customHeight="1">
      <c r="A229" s="14">
        <v>229</v>
      </c>
      <c r="C229" s="32" t="s">
        <v>108</v>
      </c>
      <c r="D229" s="33">
        <f>3*D191*D222/1000000</f>
        <v>26.094404851993</v>
      </c>
      <c r="E229" s="33">
        <f>D229*K229</f>
        <v>22.5837230186688</v>
      </c>
      <c r="F229" s="33">
        <f>D229*J229</f>
        <v>-13.072620976520545</v>
      </c>
      <c r="I229" s="20">
        <f>E222-E191</f>
        <v>-30.064466866600533</v>
      </c>
      <c r="J229" s="22">
        <f>SIN((I229)/180*PI())</f>
        <v>-0.5009740996458136</v>
      </c>
      <c r="K229" s="22">
        <f>COS((I229)/180*PI())</f>
        <v>0.8654622761761869</v>
      </c>
      <c r="L229" s="25"/>
    </row>
    <row r="230" spans="1:12" ht="12" customHeight="1">
      <c r="A230" s="14">
        <v>230</v>
      </c>
      <c r="C230" s="32" t="s">
        <v>252</v>
      </c>
      <c r="D230" s="33">
        <f>(3*D201*D220)/1000000</f>
        <v>1.2332073642702286</v>
      </c>
      <c r="E230" s="33">
        <f>(D230*K230)</f>
        <v>0.390012056199702</v>
      </c>
      <c r="F230" s="33">
        <f>ROUND((D230*J230),3)</f>
        <v>-1.17</v>
      </c>
      <c r="I230" s="20">
        <f>E220-E201</f>
        <v>-71.56320747561597</v>
      </c>
      <c r="J230" s="22">
        <f>SIN((I230)/180*PI())</f>
        <v>-0.9486731217732896</v>
      </c>
      <c r="K230" s="22">
        <f>COS((I230)/180*PI())</f>
        <v>0.3162582932112948</v>
      </c>
      <c r="L230" s="22"/>
    </row>
    <row r="231" spans="1:8" ht="12" customHeight="1">
      <c r="A231" s="14">
        <v>231</v>
      </c>
      <c r="B231" s="32"/>
      <c r="C231" s="32"/>
      <c r="D231" s="35"/>
      <c r="E231" s="35"/>
      <c r="F231" s="35"/>
      <c r="H231" s="29"/>
    </row>
    <row r="232" spans="1:8" ht="12" customHeight="1">
      <c r="A232" s="14">
        <v>232</v>
      </c>
      <c r="B232" s="32"/>
      <c r="C232" s="32"/>
      <c r="D232" s="35"/>
      <c r="E232" s="35"/>
      <c r="F232" s="35"/>
      <c r="H232" s="29"/>
    </row>
    <row r="233" spans="1:11" ht="12" customHeight="1">
      <c r="A233" s="14">
        <v>233</v>
      </c>
      <c r="B233" s="212" t="s">
        <v>270</v>
      </c>
      <c r="C233" s="212"/>
      <c r="D233" s="213"/>
      <c r="E233" s="213"/>
      <c r="F233" s="213"/>
      <c r="G233" s="213"/>
      <c r="H233" s="213"/>
      <c r="I233" s="213"/>
      <c r="J233" s="214"/>
      <c r="K233" s="213"/>
    </row>
    <row r="234" spans="1:11" ht="12" customHeight="1">
      <c r="A234" s="14">
        <v>234</v>
      </c>
      <c r="C234" s="16" t="s">
        <v>112</v>
      </c>
      <c r="D234" s="17" t="s">
        <v>21</v>
      </c>
      <c r="E234" s="17" t="s">
        <v>362</v>
      </c>
      <c r="F234" s="25" t="s">
        <v>62</v>
      </c>
      <c r="G234" s="25" t="s">
        <v>63</v>
      </c>
      <c r="H234" s="17" t="s">
        <v>280</v>
      </c>
      <c r="I234" s="18" t="s">
        <v>282</v>
      </c>
      <c r="J234" s="86" t="s">
        <v>277</v>
      </c>
      <c r="K234" s="87">
        <f>K2</f>
        <v>0</v>
      </c>
    </row>
    <row r="235" spans="1:11" ht="12" customHeight="1">
      <c r="A235" s="14">
        <v>235</v>
      </c>
      <c r="C235" s="40" t="s">
        <v>153</v>
      </c>
      <c r="D235" s="58">
        <f>TRUNC((SQRT(G235^2+F235^2)),1)</f>
        <v>669.8</v>
      </c>
      <c r="E235" s="58">
        <f>ATAN2(F235,G235)*180/PI()</f>
        <v>-32.689588204343536</v>
      </c>
      <c r="F235" s="58">
        <f>TRUNC((F237+F236),2)</f>
        <v>563.74</v>
      </c>
      <c r="G235" s="58">
        <f>TRUNC((G237+G236),2)+0.0000000000001</f>
        <v>-361.76999999999987</v>
      </c>
      <c r="H235" s="22">
        <f>G235/F235*-1</f>
        <v>0.6417320041153721</v>
      </c>
      <c r="I235" s="20">
        <f>(H235-H237)/H237*100</f>
        <v>-0.00046331270168675857</v>
      </c>
      <c r="J235" s="43" t="s">
        <v>281</v>
      </c>
      <c r="K235" s="22">
        <f>K137</f>
        <v>0</v>
      </c>
    </row>
    <row r="236" spans="1:11" ht="12" customHeight="1">
      <c r="A236" s="14">
        <v>236</v>
      </c>
      <c r="C236" s="32" t="s">
        <v>68</v>
      </c>
      <c r="D236" s="20">
        <f>D171</f>
        <v>2.3830934655841693E-09</v>
      </c>
      <c r="E236" s="20">
        <f>E171</f>
        <v>98.43994621808619</v>
      </c>
      <c r="F236" s="20">
        <f>F171</f>
        <v>-3.4977307844708477E-10</v>
      </c>
      <c r="G236" s="20">
        <f>G171</f>
        <v>2.3572851459472645E-09</v>
      </c>
      <c r="H236" s="34"/>
      <c r="J236" s="25" t="s">
        <v>64</v>
      </c>
      <c r="K236" s="11">
        <f>D186/1000</f>
        <v>11.257447652746453</v>
      </c>
    </row>
    <row r="237" spans="1:11" ht="12" customHeight="1">
      <c r="A237" s="14">
        <v>237</v>
      </c>
      <c r="C237" s="32" t="s">
        <v>155</v>
      </c>
      <c r="D237" s="20">
        <f>D152</f>
        <v>669.837111954853</v>
      </c>
      <c r="E237" s="20">
        <f>E152</f>
        <v>-32.68970886693371</v>
      </c>
      <c r="F237" s="20">
        <f>F152</f>
        <v>563.7401402806028</v>
      </c>
      <c r="G237" s="20">
        <f>G152</f>
        <v>-361.77176615709595</v>
      </c>
      <c r="H237" s="22">
        <f>G237/F237*-1</f>
        <v>0.6417349773550334</v>
      </c>
      <c r="I237" s="50"/>
      <c r="J237" s="83" t="s">
        <v>307</v>
      </c>
      <c r="K237" s="84">
        <f>D242/D69</f>
        <v>0.4640510523638536</v>
      </c>
    </row>
    <row r="238" spans="1:11" ht="12" customHeight="1">
      <c r="A238" s="14">
        <v>238</v>
      </c>
      <c r="C238" s="33" t="s">
        <v>89</v>
      </c>
      <c r="D238" s="25">
        <f>SQRT(F238^2+G238^2)</f>
        <v>6.552456077225783E-13</v>
      </c>
      <c r="E238" s="20">
        <f>ATAN2(F238,G238)*180/PI()</f>
        <v>180</v>
      </c>
      <c r="F238" s="22">
        <f>(COS((E236-E145)/180*PI())*D236/D145)</f>
        <v>-6.552456077225783E-13</v>
      </c>
      <c r="G238" s="22">
        <f>ROUND((SIN((E236-E145)/180*PI())*D236/D145),5)</f>
        <v>0</v>
      </c>
      <c r="H238" s="17"/>
      <c r="I238" s="32"/>
      <c r="J238" s="33" t="s">
        <v>299</v>
      </c>
      <c r="K238" s="20">
        <f>((K236/F121)-1)*100</f>
        <v>-2.507643509480728</v>
      </c>
    </row>
    <row r="239" spans="1:11" ht="12" customHeight="1">
      <c r="A239" s="14">
        <v>239</v>
      </c>
      <c r="C239" s="29" t="s">
        <v>188</v>
      </c>
      <c r="D239" s="53">
        <f>SQRT(F239^2+G239^2)</f>
        <v>1158.1233725805757</v>
      </c>
      <c r="E239" s="45">
        <f>ATAN2(F239,G239)*180/PI()</f>
        <v>46.77922951929867</v>
      </c>
      <c r="F239" s="53">
        <f>COS((E114+E237)/180*PI())*D114*D237</f>
        <v>793.0959975236425</v>
      </c>
      <c r="G239" s="53">
        <f>SIN((E114+E237)/180*PI())*D114*D237</f>
        <v>843.9481529272906</v>
      </c>
      <c r="H239" s="17"/>
      <c r="I239" s="32"/>
      <c r="J239" s="33"/>
      <c r="K239" s="65"/>
    </row>
    <row r="240" spans="1:11" ht="12" customHeight="1">
      <c r="A240" s="14">
        <v>240</v>
      </c>
      <c r="C240" s="29"/>
      <c r="D240" s="53"/>
      <c r="E240" s="45"/>
      <c r="F240" s="53"/>
      <c r="G240" s="53"/>
      <c r="H240" s="17"/>
      <c r="I240" s="32"/>
      <c r="J240" s="33"/>
      <c r="K240" s="65"/>
    </row>
    <row r="241" spans="1:11" ht="12" customHeight="1">
      <c r="A241" s="14">
        <v>241</v>
      </c>
      <c r="C241" s="16" t="s">
        <v>111</v>
      </c>
      <c r="D241" s="17" t="s">
        <v>44</v>
      </c>
      <c r="E241" s="17" t="s">
        <v>48</v>
      </c>
      <c r="F241" s="17" t="s">
        <v>284</v>
      </c>
      <c r="I241" s="18" t="s">
        <v>74</v>
      </c>
      <c r="J241" s="17" t="s">
        <v>77</v>
      </c>
      <c r="K241" s="17" t="s">
        <v>66</v>
      </c>
    </row>
    <row r="242" spans="1:11" ht="12" customHeight="1">
      <c r="A242" s="14">
        <v>242</v>
      </c>
      <c r="C242" s="32" t="s">
        <v>80</v>
      </c>
      <c r="D242" s="33">
        <f>D127*D235*3/1000000</f>
        <v>23.20255261819268</v>
      </c>
      <c r="E242" s="33">
        <f>D242*K242</f>
        <v>19.52747572783695</v>
      </c>
      <c r="F242" s="33">
        <f>D242*J242</f>
        <v>-12.531406134139091</v>
      </c>
      <c r="I242" s="20">
        <f>E235-E127</f>
        <v>-32.689588204343536</v>
      </c>
      <c r="J242" s="22">
        <f>SIN((I242)/180*PI())</f>
        <v>-0.5400873921222553</v>
      </c>
      <c r="K242" s="22">
        <f>COS((I242)/180*PI())</f>
        <v>0.8416089405837971</v>
      </c>
    </row>
    <row r="243" spans="1:11" ht="12" customHeight="1">
      <c r="A243" s="14">
        <v>243</v>
      </c>
      <c r="C243" s="32" t="s">
        <v>81</v>
      </c>
      <c r="D243" s="7">
        <f>3*D186*D235/1000000</f>
        <v>22.62071531342872</v>
      </c>
      <c r="E243" s="7">
        <f>D243*K243</f>
        <v>19.505944598013077</v>
      </c>
      <c r="F243" s="7">
        <f>D243*J243</f>
        <v>-11.454906661794894</v>
      </c>
      <c r="G243" s="9" t="str">
        <f>IF(I243&gt;=0,"kapazitiv","induktiv")</f>
        <v>induktiv</v>
      </c>
      <c r="H243" s="8"/>
      <c r="I243" s="13">
        <f>E235-E186</f>
        <v>-30.423674941111194</v>
      </c>
      <c r="J243" s="12">
        <f>SIN((I243)/180*PI())</f>
        <v>-0.5063901164520082</v>
      </c>
      <c r="K243" s="12">
        <f>COS((I243)/180*PI())</f>
        <v>0.862304499559014</v>
      </c>
    </row>
    <row r="244" spans="1:11" ht="12" customHeight="1">
      <c r="A244" s="14">
        <v>244</v>
      </c>
      <c r="C244" s="32" t="s">
        <v>109</v>
      </c>
      <c r="D244" s="33">
        <f>3*D191*D237/1000000</f>
        <v>21.67654723092342</v>
      </c>
      <c r="E244" s="33">
        <f>D244*K244</f>
        <v>19.10318099943602</v>
      </c>
      <c r="F244" s="33">
        <f>D244*J244</f>
        <v>-10.244080024933442</v>
      </c>
      <c r="I244" s="20">
        <f>E237-E191</f>
        <v>-28.20243254168389</v>
      </c>
      <c r="J244" s="22">
        <f>SIN((I244)/180*PI())</f>
        <v>-0.4725881809405236</v>
      </c>
      <c r="K244" s="22">
        <f>COS((I244)/180*PI())</f>
        <v>0.8812833887208625</v>
      </c>
    </row>
    <row r="245" spans="1:11" ht="12" customHeight="1">
      <c r="A245" s="14">
        <v>245</v>
      </c>
      <c r="C245" s="32" t="s">
        <v>253</v>
      </c>
      <c r="D245" s="33">
        <f>(3*D202*D235)/1000000</f>
        <v>1.2766738357521925</v>
      </c>
      <c r="E245" s="33">
        <f>(D245*K245)</f>
        <v>0.4036340656111045</v>
      </c>
      <c r="F245" s="33">
        <f>(D245*J245)</f>
        <v>-1.2111876914716673</v>
      </c>
      <c r="I245" s="20">
        <f>E235-E202</f>
        <v>-71.56910290833031</v>
      </c>
      <c r="J245" s="22">
        <f>SIN((I245)/180*PI())</f>
        <v>-0.9487056580571795</v>
      </c>
      <c r="K245" s="22">
        <f>COS((I245)/180*PI())</f>
        <v>0.3161606780899452</v>
      </c>
    </row>
    <row r="246" spans="1:11" ht="12" customHeight="1">
      <c r="A246" s="14">
        <v>246</v>
      </c>
      <c r="C246" s="32"/>
      <c r="D246" s="33"/>
      <c r="E246" s="33"/>
      <c r="F246" s="33"/>
      <c r="I246" s="20"/>
      <c r="J246" s="22"/>
      <c r="K246" s="22"/>
    </row>
    <row r="247" spans="1:11" ht="12" customHeight="1">
      <c r="A247" s="14">
        <v>247</v>
      </c>
      <c r="B247" s="212" t="s">
        <v>107</v>
      </c>
      <c r="C247" s="212"/>
      <c r="D247" s="213"/>
      <c r="E247" s="213"/>
      <c r="F247" s="213"/>
      <c r="G247" s="213"/>
      <c r="H247" s="213"/>
      <c r="I247" s="213"/>
      <c r="J247" s="214"/>
      <c r="K247" s="213"/>
    </row>
    <row r="248" spans="1:11" ht="12" customHeight="1">
      <c r="A248" s="14">
        <v>248</v>
      </c>
      <c r="B248" s="27"/>
      <c r="C248" s="27"/>
      <c r="D248" s="144" t="s">
        <v>44</v>
      </c>
      <c r="E248" s="144" t="s">
        <v>48</v>
      </c>
      <c r="F248" s="52" t="s">
        <v>284</v>
      </c>
      <c r="G248" s="55" t="s">
        <v>274</v>
      </c>
      <c r="H248" s="144" t="s">
        <v>21</v>
      </c>
      <c r="I248" s="144" t="s">
        <v>362</v>
      </c>
      <c r="J248" s="184" t="s">
        <v>62</v>
      </c>
      <c r="K248" s="56" t="s">
        <v>63</v>
      </c>
    </row>
    <row r="249" spans="1:11" ht="12" customHeight="1">
      <c r="A249" s="14">
        <v>249</v>
      </c>
      <c r="C249" s="32" t="s">
        <v>82</v>
      </c>
      <c r="D249" s="155">
        <f aca="true" t="shared" si="11" ref="D249:F251">D213+D227+D242</f>
        <v>86.94202233675838</v>
      </c>
      <c r="E249" s="155">
        <f t="shared" si="11"/>
        <v>71.03132095830583</v>
      </c>
      <c r="F249" s="156">
        <f t="shared" si="11"/>
        <v>-50.05257397989587</v>
      </c>
      <c r="G249" s="57" t="s">
        <v>239</v>
      </c>
      <c r="H249" s="59">
        <f>SQRT(K249^2+J249^2)</f>
        <v>2508.5871690654876</v>
      </c>
      <c r="I249" s="141">
        <f>ATAN2(J249,K249)*180/PI()</f>
        <v>-35.17063705225322</v>
      </c>
      <c r="J249" s="59">
        <f>F206+F220+F235</f>
        <v>2050.62</v>
      </c>
      <c r="K249" s="220">
        <f>G206+G220+G235</f>
        <v>-1444.9799999999996</v>
      </c>
    </row>
    <row r="250" spans="1:11" ht="12" customHeight="1">
      <c r="A250" s="14">
        <v>250</v>
      </c>
      <c r="C250" s="32" t="s">
        <v>84</v>
      </c>
      <c r="D250" s="286">
        <f t="shared" si="11"/>
        <v>83.89734036804387</v>
      </c>
      <c r="E250" s="287">
        <f t="shared" si="11"/>
        <v>70.92536760955348</v>
      </c>
      <c r="F250" s="288">
        <f t="shared" si="11"/>
        <v>-44.767001210487116</v>
      </c>
      <c r="G250" s="57" t="s">
        <v>240</v>
      </c>
      <c r="H250" s="59">
        <f>SQRT(K250^2+J250^2)</f>
        <v>0</v>
      </c>
      <c r="I250" s="141" t="e">
        <f>ATAN2(J250,K250)*180/PI()</f>
        <v>#DIV/0!</v>
      </c>
      <c r="J250" s="59">
        <f>ROUND((F207+F221+F236),3)</f>
        <v>0</v>
      </c>
      <c r="K250" s="220">
        <f>ROUND((G207+G221+G236),3)</f>
        <v>0</v>
      </c>
    </row>
    <row r="251" spans="1:11" ht="12" customHeight="1">
      <c r="A251" s="14">
        <v>251</v>
      </c>
      <c r="C251" s="32" t="s">
        <v>105</v>
      </c>
      <c r="D251" s="155">
        <f t="shared" si="11"/>
        <v>81.22467116871681</v>
      </c>
      <c r="E251" s="155">
        <f t="shared" si="11"/>
        <v>69.81528934380002</v>
      </c>
      <c r="F251" s="156">
        <f t="shared" si="11"/>
        <v>-41.425959949319875</v>
      </c>
      <c r="G251" s="57" t="s">
        <v>241</v>
      </c>
      <c r="H251" s="59">
        <f>SQRT(K251^2+J251^2)</f>
        <v>2508.5986854584003</v>
      </c>
      <c r="I251" s="141">
        <f>ATAN2(J251,K251)*180/PI()</f>
        <v>-35.17069343422562</v>
      </c>
      <c r="J251" s="59">
        <f>F208+F222+F237</f>
        <v>2050.6279920209213</v>
      </c>
      <c r="K251" s="220">
        <f>G208+G222+G237</f>
        <v>-1444.9886515207854</v>
      </c>
    </row>
    <row r="252" spans="1:6" ht="12" customHeight="1">
      <c r="A252" s="14">
        <v>252</v>
      </c>
      <c r="C252" s="32" t="s">
        <v>83</v>
      </c>
      <c r="D252" s="155">
        <f>(D216+D230+D245)</f>
        <v>3.5234696509277503</v>
      </c>
      <c r="E252" s="155">
        <f>(E216+E230+E245)</f>
        <v>1.1142557041412693</v>
      </c>
      <c r="F252" s="155">
        <f>(F216+F230+F245)</f>
        <v>-3.3427338648437788</v>
      </c>
    </row>
    <row r="253" spans="1:6" ht="12" customHeight="1">
      <c r="A253" s="14">
        <v>253</v>
      </c>
      <c r="C253" s="83" t="s">
        <v>42</v>
      </c>
      <c r="D253" s="84">
        <f>D249/(D4+E4+F4)</f>
        <v>0.5796134822450559</v>
      </c>
      <c r="E253" s="103"/>
      <c r="F253" s="103"/>
    </row>
    <row r="254" spans="1:6" ht="12" customHeight="1">
      <c r="A254" s="14">
        <v>254</v>
      </c>
      <c r="C254" s="32" t="s">
        <v>118</v>
      </c>
      <c r="D254" s="65">
        <f>D252/D251*100</f>
        <v>4.337930335979979</v>
      </c>
      <c r="E254" s="104"/>
      <c r="F254" s="104"/>
    </row>
    <row r="255" ht="12" customHeight="1">
      <c r="A255" s="14">
        <v>255</v>
      </c>
    </row>
    <row r="256" spans="1:11" ht="12" customHeight="1">
      <c r="A256" s="14">
        <v>256</v>
      </c>
      <c r="H256" s="17"/>
      <c r="I256" s="17"/>
      <c r="J256" s="32"/>
      <c r="K256" s="41"/>
    </row>
    <row r="257" spans="1:9" ht="12" customHeight="1">
      <c r="A257" s="14">
        <v>257</v>
      </c>
      <c r="B257" s="40"/>
      <c r="C257" s="40"/>
      <c r="D257" s="33"/>
      <c r="E257" s="36"/>
      <c r="F257" s="33"/>
      <c r="G257" s="33"/>
      <c r="H257" s="17"/>
      <c r="I257" s="17"/>
    </row>
    <row r="258" ht="12" customHeight="1">
      <c r="A258" s="14">
        <v>258</v>
      </c>
    </row>
    <row r="259" ht="12" customHeight="1">
      <c r="A259" s="14">
        <v>259</v>
      </c>
    </row>
    <row r="260" ht="12" customHeight="1">
      <c r="A260" s="14">
        <v>260</v>
      </c>
    </row>
    <row r="261" ht="12" customHeight="1">
      <c r="A261" s="14">
        <v>261</v>
      </c>
    </row>
    <row r="262" ht="12" customHeight="1">
      <c r="A262" s="14">
        <v>262</v>
      </c>
    </row>
    <row r="263" ht="12" customHeight="1">
      <c r="A263" s="14">
        <v>263</v>
      </c>
    </row>
    <row r="264" ht="12" customHeight="1">
      <c r="A264" s="14">
        <v>264</v>
      </c>
    </row>
    <row r="265" ht="12" customHeight="1">
      <c r="A265" s="14">
        <v>265</v>
      </c>
    </row>
    <row r="266" ht="12" customHeight="1">
      <c r="A266" s="14">
        <v>266</v>
      </c>
    </row>
    <row r="267" ht="12" customHeight="1">
      <c r="A267" s="14">
        <v>267</v>
      </c>
    </row>
    <row r="268" spans="1:9" ht="12" customHeight="1">
      <c r="A268" s="14">
        <v>268</v>
      </c>
      <c r="H268" s="17"/>
      <c r="I268" s="17"/>
    </row>
    <row r="269" ht="12" customHeight="1">
      <c r="A269" s="14">
        <v>269</v>
      </c>
    </row>
    <row r="270" ht="12" customHeight="1">
      <c r="A270" s="14">
        <v>270</v>
      </c>
    </row>
    <row r="271" ht="12" customHeight="1">
      <c r="A271" s="14">
        <v>271</v>
      </c>
    </row>
    <row r="272" ht="12" customHeight="1">
      <c r="A272" s="14">
        <v>272</v>
      </c>
    </row>
    <row r="273" ht="12" customHeight="1">
      <c r="A273" s="14">
        <v>273</v>
      </c>
    </row>
    <row r="274" ht="12" customHeight="1">
      <c r="A274" s="14">
        <v>274</v>
      </c>
    </row>
    <row r="275" ht="12" customHeight="1">
      <c r="A275" s="14">
        <v>275</v>
      </c>
    </row>
    <row r="276" ht="12" customHeight="1">
      <c r="A276" s="14">
        <v>276</v>
      </c>
    </row>
    <row r="277" ht="12" customHeight="1">
      <c r="A277" s="14">
        <v>277</v>
      </c>
    </row>
    <row r="278" ht="12" customHeight="1">
      <c r="A278" s="14">
        <v>278</v>
      </c>
    </row>
    <row r="279" ht="12" customHeight="1">
      <c r="A279" s="14">
        <v>279</v>
      </c>
    </row>
    <row r="280" ht="12" customHeight="1">
      <c r="A280" s="14">
        <v>280</v>
      </c>
    </row>
  </sheetData>
  <sheetProtection password="C407" sheet="1" objects="1" scenarios="1"/>
  <conditionalFormatting sqref="D254 D257:G257 H249:K251 D249:D252 E249:F253 F242 F227 E208:E212 F212:F215 E214:E215 E226:F226 E216:F216 E241:F241 E228:F230 I241:I246 I212:I216 E222:E225 I226:I230 E243:F246 D220:D230 F220:G225 E220 D206:D216 F206:G211 E206 D235:D246 F235:G240 E235 E237:E240 D55:K55 H57:H58 D57:F58 D49:K49 D52:K52">
    <cfRule type="cellIs" priority="1" dxfId="0" operator="lessThan" stopIfTrue="1">
      <formula>0</formula>
    </cfRule>
  </conditionalFormatting>
  <conditionalFormatting sqref="E221 E207 E236 D23:F23 H23:J23">
    <cfRule type="cellIs" priority="2" dxfId="1" operator="greaterThan" stopIfTrue="1">
      <formula>0</formula>
    </cfRule>
  </conditionalFormatting>
  <conditionalFormatting sqref="H161 H166 H171:H173">
    <cfRule type="cellIs" priority="3" dxfId="2" operator="lessThan" stopIfTrue="1">
      <formula>0</formula>
    </cfRule>
  </conditionalFormatting>
  <conditionalFormatting sqref="D120:F120 H138:I138 H90:I91 I106:I107 H114:I114 I82:I83 I94:I95 H102:I103 I2:K2">
    <cfRule type="cellIs" priority="4" dxfId="3" operator="notEqual" stopIfTrue="1">
      <formula>0</formula>
    </cfRule>
  </conditionalFormatting>
  <conditionalFormatting sqref="E101 H87:I87 K101 H99:I99 E89 K113 H111:I111 E113 E8">
    <cfRule type="cellIs" priority="5" dxfId="3" operator="greaterThan" stopIfTrue="1">
      <formula>0</formula>
    </cfRule>
  </conditionalFormatting>
  <conditionalFormatting sqref="E25:F25">
    <cfRule type="cellIs" priority="6" dxfId="3" operator="greaterThan" stopIfTrue="1">
      <formula>$D$25</formula>
    </cfRule>
  </conditionalFormatting>
  <conditionalFormatting sqref="F21">
    <cfRule type="expression" priority="7" dxfId="3" stopIfTrue="1">
      <formula>TRUE</formula>
    </cfRule>
  </conditionalFormatting>
  <conditionalFormatting sqref="D18:F18">
    <cfRule type="cellIs" priority="8" dxfId="1" operator="greaterThan" stopIfTrue="1">
      <formula>1</formula>
    </cfRule>
  </conditionalFormatting>
  <conditionalFormatting sqref="D2:F2">
    <cfRule type="cellIs" priority="9" dxfId="3" operator="equal" stopIfTrue="1">
      <formula>0</formula>
    </cfRule>
  </conditionalFormatting>
  <conditionalFormatting sqref="E21">
    <cfRule type="expression" priority="10" dxfId="3" stopIfTrue="1">
      <formula>FALSE</formula>
    </cfRule>
  </conditionalFormatting>
  <conditionalFormatting sqref="D21">
    <cfRule type="expression" priority="11" dxfId="4" stopIfTrue="1">
      <formula>"c2=0"</formula>
    </cfRule>
  </conditionalFormatting>
  <printOptions gridLines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3"/>
  <headerFooter alignWithMargins="0">
    <oddHeader>&amp;L&amp;D - &amp;T&amp;C&amp;F&amp;RBeispiel.........Seite &amp;P / &amp;N</oddHeader>
    <oddFooter>&amp;L&amp;9Ausgabe: 11-2006 / 02&amp;C&amp;8(sinusförmige Größen; starres Einspeisenetz; stationärer Netzzustand)&amp;R&amp;8Verfasser: Helmut Karger
e-mail: heka@vr-web.de</oddFooter>
  </headerFooter>
  <legacyDrawing r:id="rId2"/>
  <oleObjects>
    <oleObject progId="Designer.Drawing.7" shapeId="1471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Helmut Karger</cp:lastModifiedBy>
  <cp:lastPrinted>2006-11-23T10:59:32Z</cp:lastPrinted>
  <dcterms:created xsi:type="dcterms:W3CDTF">1996-10-17T05:27:31Z</dcterms:created>
  <dcterms:modified xsi:type="dcterms:W3CDTF">2006-11-23T11:04:45Z</dcterms:modified>
  <cp:category/>
  <cp:version/>
  <cp:contentType/>
  <cp:contentStatus/>
</cp:coreProperties>
</file>